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embeddings/oleObject12.bin" ContentType="application/vnd.openxmlformats-officedocument.oleObject"/>
  <Override PartName="/xl/drawings/drawing12.xml" ContentType="application/vnd.openxmlformats-officedocument.drawing+xml"/>
  <Override PartName="/xl/embeddings/oleObject13.bin" ContentType="application/vnd.openxmlformats-officedocument.oleObject"/>
  <Override PartName="/xl/drawings/drawing13.xml" ContentType="application/vnd.openxmlformats-officedocument.drawing+xml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drawings/drawing14.xml" ContentType="application/vnd.openxmlformats-officedocument.drawing+xml"/>
  <Override PartName="/xl/embeddings/oleObject16.bin" ContentType="application/vnd.openxmlformats-officedocument.oleObject"/>
  <Override PartName="/xl/drawings/drawing15.xml" ContentType="application/vnd.openxmlformats-officedocument.drawing+xml"/>
  <Override PartName="/xl/embeddings/oleObject17.bin" ContentType="application/vnd.openxmlformats-officedocument.oleObject"/>
  <Override PartName="/xl/comments1.xml" ContentType="application/vnd.openxmlformats-officedocument.spreadsheetml.comments+xml"/>
  <Override PartName="/xl/drawings/drawing16.xml" ContentType="application/vnd.openxmlformats-officedocument.drawing+xml"/>
  <Override PartName="/xl/embeddings/oleObject18.bin" ContentType="application/vnd.openxmlformats-officedocument.oleObject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17.xml" ContentType="application/vnd.openxmlformats-officedocument.drawing+xml"/>
  <Override PartName="/xl/embeddings/oleObject19.bin" ContentType="application/vnd.openxmlformats-officedocument.oleObject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L:\Compendium of Statistics\2023 Compendium\Website\"/>
    </mc:Choice>
  </mc:AlternateContent>
  <xr:revisionPtr revIDLastSave="0" documentId="13_ncr:1_{809D2842-DAEE-40F9-83B1-09C5DB31E8D3}" xr6:coauthVersionLast="36" xr6:coauthVersionMax="36" xr10:uidLastSave="{00000000-0000-0000-0000-000000000000}"/>
  <bookViews>
    <workbookView xWindow="0" yWindow="0" windowWidth="17220" windowHeight="9720" tabRatio="722" activeTab="16" xr2:uid="{00000000-000D-0000-FFFF-FFFF00000000}"/>
  </bookViews>
  <sheets>
    <sheet name=".01" sheetId="10" r:id="rId1"/>
    <sheet name=".02" sheetId="9" r:id="rId2"/>
    <sheet name=".03a" sheetId="18" r:id="rId3"/>
    <sheet name=".03b" sheetId="19" r:id="rId4"/>
    <sheet name=".03c" sheetId="20" r:id="rId5"/>
    <sheet name=".04" sheetId="21" r:id="rId6"/>
    <sheet name=".03 delete" sheetId="3" state="hidden" r:id="rId7"/>
    <sheet name=".04 delete" sheetId="4" state="hidden" r:id="rId8"/>
    <sheet name=".05" sheetId="16" r:id="rId9"/>
    <sheet name=".06" sheetId="8" r:id="rId10"/>
    <sheet name=".07" sheetId="2" r:id="rId11"/>
    <sheet name=".08" sheetId="12" r:id="rId12"/>
    <sheet name=".09" sheetId="11" r:id="rId13"/>
    <sheet name=".10" sheetId="17" r:id="rId14"/>
    <sheet name=".10 delete" sheetId="13" state="hidden" r:id="rId15"/>
    <sheet name=".11" sheetId="14" r:id="rId16"/>
    <sheet name=".12 &amp; .13" sheetId="15" r:id="rId17"/>
  </sheets>
  <externalReferences>
    <externalReference r:id="rId18"/>
    <externalReference r:id="rId19"/>
  </externalReferences>
  <definedNames>
    <definedName name="footer">'.03 delete'!$C$55</definedName>
    <definedName name="_xlnm.Print_Area" localSheetId="0">'.01'!$A$1:$K$42</definedName>
    <definedName name="_xlnm.Print_Area" localSheetId="1">'.02'!$A$1:$O$57</definedName>
    <definedName name="_xlnm.Print_Area" localSheetId="6">'.03 delete'!$A$2:$X$55</definedName>
    <definedName name="_xlnm.Print_Area" localSheetId="2">'.03a'!$A$1:$J$88</definedName>
    <definedName name="_xlnm.Print_Area" localSheetId="3">'.03b'!$A$1:$J$62</definedName>
    <definedName name="_xlnm.Print_Area" localSheetId="4">'.03c'!$A$1:$J$60</definedName>
    <definedName name="_xlnm.Print_Area" localSheetId="5">'.04'!$A$1:$J$62</definedName>
    <definedName name="_xlnm.Print_Area" localSheetId="7">'.04 delete'!$A$2:$T$75</definedName>
    <definedName name="_xlnm.Print_Area" localSheetId="8">'.05'!$A$1:$J$46</definedName>
    <definedName name="_xlnm.Print_Area" localSheetId="9">'.06'!$A$1:$L$88</definedName>
    <definedName name="_xlnm.Print_Area" localSheetId="10">'.07'!$A$1:$L$78</definedName>
    <definedName name="_xlnm.Print_Area" localSheetId="11">'.08'!$A$1:$N$69</definedName>
    <definedName name="_xlnm.Print_Area" localSheetId="12">'.09'!$A$1:$M$90</definedName>
    <definedName name="_xlnm.Print_Area" localSheetId="13">'.10'!$A$1:$H$35</definedName>
    <definedName name="_xlnm.Print_Area" localSheetId="14">'.10 delete'!$A$2:$AM$74</definedName>
    <definedName name="_xlnm.Print_Area" localSheetId="15">'.11'!$A$1:$K$53</definedName>
    <definedName name="_xlnm.Print_Area" localSheetId="16">'.12 &amp; .13'!$A$2:$E$57</definedName>
  </definedNames>
  <calcPr calcId="191029"/>
</workbook>
</file>

<file path=xl/calcChain.xml><?xml version="1.0" encoding="utf-8"?>
<calcChain xmlns="http://schemas.openxmlformats.org/spreadsheetml/2006/main">
  <c r="K45" i="15" l="1"/>
  <c r="J45" i="15"/>
  <c r="I45" i="15"/>
  <c r="H45" i="15"/>
  <c r="G45" i="15"/>
  <c r="F45" i="15"/>
  <c r="E45" i="15"/>
  <c r="K11" i="15"/>
  <c r="J11" i="15"/>
  <c r="I11" i="15"/>
  <c r="H11" i="15"/>
  <c r="G11" i="15"/>
  <c r="F11" i="15"/>
  <c r="E11" i="15"/>
  <c r="L27" i="14"/>
  <c r="K27" i="14"/>
  <c r="J27" i="14"/>
  <c r="I27" i="14"/>
  <c r="H27" i="14"/>
  <c r="G27" i="14"/>
  <c r="F27" i="14"/>
  <c r="E27" i="14"/>
  <c r="D27" i="14"/>
  <c r="L21" i="14"/>
  <c r="K21" i="14"/>
  <c r="J21" i="14"/>
  <c r="I21" i="14"/>
  <c r="H21" i="14"/>
  <c r="G21" i="14"/>
  <c r="F21" i="14"/>
  <c r="E21" i="14"/>
  <c r="D21" i="14"/>
  <c r="G32" i="17"/>
  <c r="G27" i="17"/>
  <c r="L71" i="11"/>
  <c r="K71" i="11"/>
  <c r="K70" i="11"/>
  <c r="L70" i="11" s="1"/>
  <c r="L69" i="11"/>
  <c r="K69" i="11"/>
  <c r="K67" i="11"/>
  <c r="L67" i="11" s="1"/>
  <c r="K66" i="11"/>
  <c r="K65" i="11"/>
  <c r="L66" i="11" s="1"/>
  <c r="K64" i="11"/>
  <c r="L64" i="11" s="1"/>
  <c r="K63" i="11"/>
  <c r="L63" i="11" s="1"/>
  <c r="L61" i="11"/>
  <c r="K61" i="11"/>
  <c r="K60" i="11"/>
  <c r="L60" i="11" s="1"/>
  <c r="K59" i="11"/>
  <c r="K58" i="11"/>
  <c r="L59" i="11" s="1"/>
  <c r="K57" i="11"/>
  <c r="L57" i="11" s="1"/>
  <c r="K55" i="11"/>
  <c r="L55" i="11" s="1"/>
  <c r="K54" i="11"/>
  <c r="L54" i="11" s="1"/>
  <c r="K53" i="11"/>
  <c r="L53" i="11" s="1"/>
  <c r="L52" i="11"/>
  <c r="K52" i="11"/>
  <c r="K51" i="11"/>
  <c r="L51" i="11" s="1"/>
  <c r="K49" i="11"/>
  <c r="K48" i="11"/>
  <c r="L49" i="11" s="1"/>
  <c r="K47" i="11"/>
  <c r="L47" i="11" s="1"/>
  <c r="K46" i="11"/>
  <c r="L46" i="11" s="1"/>
  <c r="K45" i="11"/>
  <c r="L45" i="11" s="1"/>
  <c r="K43" i="11"/>
  <c r="L43" i="11" s="1"/>
  <c r="L42" i="11"/>
  <c r="K42" i="11"/>
  <c r="K41" i="11"/>
  <c r="L41" i="11" s="1"/>
  <c r="K40" i="11"/>
  <c r="K39" i="11"/>
  <c r="L40" i="11" s="1"/>
  <c r="K37" i="11"/>
  <c r="L37" i="11" s="1"/>
  <c r="K35" i="11"/>
  <c r="L35" i="11" s="1"/>
  <c r="K34" i="11"/>
  <c r="L34" i="11" s="1"/>
  <c r="L33" i="11"/>
  <c r="K33" i="11"/>
  <c r="K32" i="11"/>
  <c r="K31" i="11"/>
  <c r="L32" i="11" s="1"/>
  <c r="K30" i="11"/>
  <c r="L30" i="11" s="1"/>
  <c r="K29" i="11"/>
  <c r="L29" i="11" s="1"/>
  <c r="K28" i="11"/>
  <c r="K27" i="11"/>
  <c r="L27" i="11" s="1"/>
  <c r="K26" i="11"/>
  <c r="L26" i="11" s="1"/>
  <c r="L25" i="11"/>
  <c r="K25" i="11"/>
  <c r="K24" i="11"/>
  <c r="K23" i="11"/>
  <c r="L24" i="11" s="1"/>
  <c r="K22" i="11"/>
  <c r="L22" i="11" s="1"/>
  <c r="K21" i="11"/>
  <c r="L21" i="11" s="1"/>
  <c r="K20" i="11"/>
  <c r="K19" i="11"/>
  <c r="L20" i="11" s="1"/>
  <c r="K18" i="11"/>
  <c r="L18" i="11" s="1"/>
  <c r="L17" i="11"/>
  <c r="K17" i="11"/>
  <c r="K16" i="11"/>
  <c r="K15" i="11"/>
  <c r="L16" i="11" s="1"/>
  <c r="K14" i="11"/>
  <c r="L14" i="11" s="1"/>
  <c r="K13" i="11"/>
  <c r="L13" i="11" s="1"/>
  <c r="K12" i="11"/>
  <c r="K50" i="12"/>
  <c r="L50" i="12" s="1"/>
  <c r="K49" i="12"/>
  <c r="L49" i="12" s="1"/>
  <c r="K48" i="12"/>
  <c r="L48" i="12" s="1"/>
  <c r="K46" i="12"/>
  <c r="K45" i="12"/>
  <c r="L46" i="12" s="1"/>
  <c r="K44" i="12"/>
  <c r="L44" i="12" s="1"/>
  <c r="K43" i="12"/>
  <c r="L43" i="12" s="1"/>
  <c r="K42" i="12"/>
  <c r="L42" i="12" s="1"/>
  <c r="K40" i="12"/>
  <c r="L40" i="12" s="1"/>
  <c r="K39" i="12"/>
  <c r="L39" i="12" s="1"/>
  <c r="K38" i="12"/>
  <c r="L38" i="12" s="1"/>
  <c r="K37" i="12"/>
  <c r="K36" i="12"/>
  <c r="L37" i="12" s="1"/>
  <c r="K34" i="12"/>
  <c r="L34" i="12" s="1"/>
  <c r="K33" i="12"/>
  <c r="L33" i="12" s="1"/>
  <c r="K32" i="12"/>
  <c r="L32" i="12" s="1"/>
  <c r="K31" i="12"/>
  <c r="L31" i="12" s="1"/>
  <c r="K30" i="12"/>
  <c r="L30" i="12" s="1"/>
  <c r="K28" i="12"/>
  <c r="L28" i="12" s="1"/>
  <c r="K27" i="12"/>
  <c r="K26" i="12"/>
  <c r="L27" i="12" s="1"/>
  <c r="K25" i="12"/>
  <c r="L25" i="12" s="1"/>
  <c r="K24" i="12"/>
  <c r="L24" i="12" s="1"/>
  <c r="K22" i="12"/>
  <c r="L22" i="12" s="1"/>
  <c r="K21" i="12"/>
  <c r="L21" i="12" s="1"/>
  <c r="K20" i="12"/>
  <c r="L20" i="12" s="1"/>
  <c r="K19" i="12"/>
  <c r="L19" i="12" s="1"/>
  <c r="K18" i="12"/>
  <c r="K16" i="12"/>
  <c r="L18" i="12" s="1"/>
  <c r="K15" i="12"/>
  <c r="L15" i="12" s="1"/>
  <c r="K14" i="12"/>
  <c r="E13" i="12"/>
  <c r="K13" i="12" s="1"/>
  <c r="L13" i="12" s="1"/>
  <c r="K12" i="12"/>
  <c r="L12" i="12" s="1"/>
  <c r="E12" i="12"/>
  <c r="I50" i="2"/>
  <c r="I49" i="2"/>
  <c r="I48" i="2"/>
  <c r="I46" i="2"/>
  <c r="I45" i="2"/>
  <c r="I44" i="2"/>
  <c r="I43" i="2"/>
  <c r="I42" i="2"/>
  <c r="I40" i="2"/>
  <c r="I39" i="2"/>
  <c r="I38" i="2"/>
  <c r="I37" i="2"/>
  <c r="I36" i="2"/>
  <c r="I34" i="2"/>
  <c r="I33" i="2"/>
  <c r="I32" i="2"/>
  <c r="I31" i="2"/>
  <c r="I30" i="2"/>
  <c r="I28" i="2"/>
  <c r="I27" i="2"/>
  <c r="I26" i="2"/>
  <c r="I25" i="2"/>
  <c r="I24" i="2"/>
  <c r="I22" i="2"/>
  <c r="I21" i="2"/>
  <c r="I20" i="2"/>
  <c r="I19" i="2"/>
  <c r="I18" i="2"/>
  <c r="I16" i="2"/>
  <c r="I15" i="2"/>
  <c r="I14" i="2"/>
  <c r="I13" i="2"/>
  <c r="I12" i="2"/>
  <c r="F123" i="8"/>
  <c r="D123" i="8"/>
  <c r="F112" i="8"/>
  <c r="D112" i="8"/>
  <c r="J64" i="8"/>
  <c r="F64" i="8"/>
  <c r="J63" i="8"/>
  <c r="F63" i="8"/>
  <c r="J62" i="8"/>
  <c r="F62" i="8"/>
  <c r="J59" i="8"/>
  <c r="F59" i="8"/>
  <c r="J58" i="8"/>
  <c r="F58" i="8"/>
  <c r="J57" i="8"/>
  <c r="F57" i="8"/>
  <c r="J56" i="8"/>
  <c r="F56" i="8"/>
  <c r="J55" i="8"/>
  <c r="F55" i="8"/>
  <c r="J53" i="8"/>
  <c r="F53" i="8"/>
  <c r="J52" i="8"/>
  <c r="F52" i="8"/>
  <c r="J51" i="8"/>
  <c r="F51" i="8"/>
  <c r="J50" i="8"/>
  <c r="F50" i="8"/>
  <c r="J49" i="8"/>
  <c r="F49" i="8"/>
  <c r="J47" i="8"/>
  <c r="F47" i="8"/>
  <c r="J46" i="8"/>
  <c r="F46" i="8"/>
  <c r="J45" i="8"/>
  <c r="F45" i="8"/>
  <c r="J44" i="8"/>
  <c r="F44" i="8"/>
  <c r="J43" i="8"/>
  <c r="F43" i="8"/>
  <c r="D43" i="8"/>
  <c r="J41" i="8"/>
  <c r="F41" i="8"/>
  <c r="D41" i="8"/>
  <c r="J40" i="8"/>
  <c r="F40" i="8"/>
  <c r="J39" i="8"/>
  <c r="F39" i="8"/>
  <c r="J38" i="8"/>
  <c r="F38" i="8"/>
  <c r="Q37" i="8"/>
  <c r="P37" i="8"/>
  <c r="J37" i="8"/>
  <c r="F37" i="8"/>
  <c r="J35" i="8"/>
  <c r="F35" i="8"/>
  <c r="J34" i="8"/>
  <c r="F34" i="8"/>
  <c r="J33" i="8"/>
  <c r="F33" i="8"/>
  <c r="J32" i="8"/>
  <c r="F32" i="8"/>
  <c r="J31" i="8"/>
  <c r="F31" i="8"/>
  <c r="J29" i="8"/>
  <c r="F29" i="8"/>
  <c r="J28" i="8"/>
  <c r="F28" i="8"/>
  <c r="J27" i="8"/>
  <c r="F27" i="8"/>
  <c r="J26" i="8"/>
  <c r="F26" i="8"/>
  <c r="J25" i="8"/>
  <c r="F25" i="8"/>
  <c r="J23" i="8"/>
  <c r="F23" i="8"/>
  <c r="J22" i="8"/>
  <c r="F22" i="8"/>
  <c r="J21" i="8"/>
  <c r="F21" i="8"/>
  <c r="J20" i="8"/>
  <c r="F20" i="8"/>
  <c r="J19" i="8"/>
  <c r="F19" i="8"/>
  <c r="J18" i="8"/>
  <c r="F18" i="8"/>
  <c r="J17" i="8"/>
  <c r="F17" i="8"/>
  <c r="J16" i="8"/>
  <c r="F16" i="8"/>
  <c r="J15" i="8"/>
  <c r="F15" i="8"/>
  <c r="J14" i="8"/>
  <c r="F14" i="8"/>
  <c r="J13" i="8"/>
  <c r="F13" i="8"/>
  <c r="J12" i="8"/>
  <c r="F12" i="8"/>
  <c r="J11" i="8"/>
  <c r="F11" i="8"/>
  <c r="L36" i="11" l="1"/>
  <c r="L65" i="11"/>
  <c r="L28" i="11"/>
  <c r="L19" i="11"/>
  <c r="L39" i="11"/>
  <c r="L48" i="11"/>
  <c r="L58" i="11"/>
  <c r="L23" i="11"/>
  <c r="L15" i="11"/>
  <c r="L31" i="11"/>
  <c r="L16" i="12"/>
  <c r="L26" i="12"/>
  <c r="L36" i="12"/>
  <c r="L45" i="12"/>
  <c r="I57" i="21"/>
  <c r="I58" i="21"/>
  <c r="I56" i="21"/>
  <c r="I55" i="21"/>
  <c r="F58" i="21"/>
  <c r="F57" i="21"/>
  <c r="F56" i="21"/>
  <c r="F55" i="21"/>
  <c r="P29" i="9"/>
  <c r="P13" i="9"/>
  <c r="I15" i="19" l="1"/>
  <c r="I54" i="21" l="1"/>
  <c r="I53" i="21"/>
  <c r="I52" i="21"/>
  <c r="I51" i="21"/>
  <c r="F54" i="21"/>
  <c r="F53" i="21"/>
  <c r="F52" i="21"/>
  <c r="F51" i="21"/>
  <c r="O29" i="9"/>
  <c r="O13" i="9"/>
  <c r="I49" i="21" l="1"/>
  <c r="I50" i="21"/>
  <c r="I48" i="21"/>
  <c r="I47" i="21"/>
  <c r="F47" i="21"/>
  <c r="F50" i="21"/>
  <c r="F49" i="21"/>
  <c r="F48" i="21"/>
  <c r="N29" i="9"/>
  <c r="N13" i="9"/>
  <c r="I46" i="21" l="1"/>
  <c r="I45" i="21"/>
  <c r="I44" i="21"/>
  <c r="I43" i="21"/>
  <c r="F46" i="21"/>
  <c r="F45" i="21"/>
  <c r="F44" i="21"/>
  <c r="F43" i="21"/>
  <c r="M13" i="9"/>
  <c r="M29" i="9"/>
  <c r="I42" i="21" l="1"/>
  <c r="I41" i="21"/>
  <c r="I40" i="21"/>
  <c r="I39" i="21"/>
  <c r="F42" i="21"/>
  <c r="F41" i="21"/>
  <c r="F40" i="21"/>
  <c r="F39" i="21"/>
  <c r="L29" i="9"/>
  <c r="L13" i="9"/>
  <c r="K29" i="9" l="1"/>
  <c r="K13" i="9"/>
  <c r="I38" i="21"/>
  <c r="I37" i="21"/>
  <c r="I36" i="21"/>
  <c r="I35" i="21"/>
  <c r="F38" i="21"/>
  <c r="F37" i="21"/>
  <c r="F36" i="21"/>
  <c r="F35" i="21"/>
  <c r="J37" i="20"/>
  <c r="J36" i="20"/>
  <c r="J35" i="20"/>
  <c r="J34" i="20"/>
  <c r="E18" i="16" l="1"/>
  <c r="E23" i="16"/>
  <c r="E27" i="16"/>
  <c r="E32" i="16"/>
  <c r="J29" i="9"/>
  <c r="J13" i="9"/>
  <c r="I34" i="21"/>
  <c r="I33" i="21"/>
  <c r="I32" i="21"/>
  <c r="I31" i="21"/>
  <c r="F34" i="21"/>
  <c r="F33" i="21"/>
  <c r="F32" i="21"/>
  <c r="F31" i="21"/>
  <c r="J33" i="20"/>
  <c r="J32" i="20"/>
  <c r="J31" i="20"/>
  <c r="J30" i="20"/>
  <c r="I30" i="21"/>
  <c r="J29" i="20"/>
  <c r="I34" i="19"/>
  <c r="I33" i="19"/>
  <c r="I32" i="19"/>
  <c r="I31" i="19"/>
  <c r="E17" i="16" l="1"/>
  <c r="E16" i="16" s="1"/>
  <c r="D32" i="16" l="1"/>
  <c r="D27" i="16"/>
  <c r="D23" i="16"/>
  <c r="D18" i="16"/>
  <c r="S17" i="4"/>
  <c r="S16" i="4"/>
  <c r="S15" i="4"/>
  <c r="D17" i="16" l="1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I29" i="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14" i="18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I13" i="9" l="1"/>
  <c r="AE19" i="13"/>
  <c r="U23" i="13"/>
  <c r="V23" i="13"/>
  <c r="V26" i="13" s="1"/>
  <c r="W23" i="13"/>
  <c r="X23" i="13"/>
  <c r="Y23" i="13"/>
  <c r="Z23" i="13"/>
  <c r="AA23" i="13"/>
  <c r="AB23" i="13"/>
  <c r="AC23" i="13"/>
  <c r="AI23" i="13"/>
  <c r="U24" i="13"/>
  <c r="V24" i="13"/>
  <c r="W24" i="13"/>
  <c r="X24" i="13"/>
  <c r="Y24" i="13"/>
  <c r="Z24" i="13"/>
  <c r="AA24" i="13"/>
  <c r="AB24" i="13"/>
  <c r="AC24" i="13"/>
  <c r="U25" i="13"/>
  <c r="V25" i="13"/>
  <c r="W25" i="13"/>
  <c r="X25" i="13"/>
  <c r="Y25" i="13"/>
  <c r="Z25" i="13"/>
  <c r="AA25" i="13"/>
  <c r="AB25" i="13"/>
  <c r="AC25" i="13"/>
  <c r="AI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Q26" i="13"/>
  <c r="AD26" i="13"/>
  <c r="AE26" i="13"/>
  <c r="AF26" i="13"/>
  <c r="AG26" i="13"/>
  <c r="AC35" i="13"/>
  <c r="AC37" i="13"/>
  <c r="AC39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S43" i="13"/>
  <c r="T43" i="13"/>
  <c r="U43" i="13"/>
  <c r="V43" i="13"/>
  <c r="W43" i="13"/>
  <c r="X82" i="13"/>
  <c r="X19" i="13" s="1"/>
  <c r="X43" i="13" s="1"/>
  <c r="Y82" i="13"/>
  <c r="Y19" i="13" s="1"/>
  <c r="Y43" i="13" s="1"/>
  <c r="Z82" i="13"/>
  <c r="Z19" i="13" s="1"/>
  <c r="AA82" i="13"/>
  <c r="AA19" i="13" s="1"/>
  <c r="AB82" i="13"/>
  <c r="AB19" i="13" s="1"/>
  <c r="AC82" i="13"/>
  <c r="AC19" i="13" s="1"/>
  <c r="AD82" i="13"/>
  <c r="U97" i="13"/>
  <c r="V97" i="13"/>
  <c r="W97" i="13"/>
  <c r="X97" i="13"/>
  <c r="Y97" i="13"/>
  <c r="Z97" i="13"/>
  <c r="AA97" i="13"/>
  <c r="AB97" i="13"/>
  <c r="AC97" i="13"/>
  <c r="AD97" i="13"/>
  <c r="U100" i="13"/>
  <c r="V100" i="13"/>
  <c r="W100" i="13"/>
  <c r="X100" i="13"/>
  <c r="Y100" i="13"/>
  <c r="Y102" i="13" s="1"/>
  <c r="Z100" i="13"/>
  <c r="AA100" i="13"/>
  <c r="AB100" i="13"/>
  <c r="AC100" i="13"/>
  <c r="AD100" i="13"/>
  <c r="G15" i="4"/>
  <c r="G20" i="4" s="1"/>
  <c r="G26" i="4" s="1"/>
  <c r="H15" i="4"/>
  <c r="H20" i="4" s="1"/>
  <c r="H26" i="4" s="1"/>
  <c r="I15" i="4"/>
  <c r="J15" i="4"/>
  <c r="K15" i="4"/>
  <c r="Q15" i="4"/>
  <c r="H16" i="4"/>
  <c r="I16" i="4"/>
  <c r="J16" i="4"/>
  <c r="V37" i="4" s="1"/>
  <c r="K16" i="4"/>
  <c r="Q16" i="4"/>
  <c r="H17" i="4"/>
  <c r="I17" i="4"/>
  <c r="J17" i="4"/>
  <c r="K17" i="4"/>
  <c r="Q17" i="4"/>
  <c r="D20" i="4"/>
  <c r="D26" i="4" s="1"/>
  <c r="E20" i="4"/>
  <c r="E26" i="4" s="1"/>
  <c r="F20" i="4"/>
  <c r="F26" i="4" s="1"/>
  <c r="L20" i="4"/>
  <c r="L26" i="4" s="1"/>
  <c r="M20" i="4"/>
  <c r="AA44" i="4" s="1"/>
  <c r="N20" i="4"/>
  <c r="AA45" i="4" s="1"/>
  <c r="O20" i="4"/>
  <c r="AA46" i="4" s="1"/>
  <c r="R20" i="4"/>
  <c r="K22" i="4"/>
  <c r="P22" i="4"/>
  <c r="K24" i="4"/>
  <c r="P24" i="4"/>
  <c r="P26" i="4"/>
  <c r="V38" i="4"/>
  <c r="V39" i="4"/>
  <c r="V40" i="4"/>
  <c r="AA41" i="4"/>
  <c r="AA42" i="4"/>
  <c r="E13" i="3"/>
  <c r="F13" i="3"/>
  <c r="G13" i="3"/>
  <c r="H13" i="3"/>
  <c r="I13" i="3"/>
  <c r="J13" i="3"/>
  <c r="O13" i="3"/>
  <c r="P13" i="3"/>
  <c r="Q13" i="3"/>
  <c r="R13" i="3"/>
  <c r="S13" i="3"/>
  <c r="V13" i="3"/>
  <c r="M15" i="3"/>
  <c r="N15" i="3"/>
  <c r="T15" i="3"/>
  <c r="U15" i="3"/>
  <c r="N18" i="3"/>
  <c r="T18" i="3"/>
  <c r="U18" i="3"/>
  <c r="K20" i="3"/>
  <c r="L20" i="3"/>
  <c r="M20" i="3"/>
  <c r="U20" i="3"/>
  <c r="AA21" i="3"/>
  <c r="AA22" i="3"/>
  <c r="K23" i="3"/>
  <c r="L23" i="3"/>
  <c r="M23" i="3"/>
  <c r="N23" i="3"/>
  <c r="T23" i="3"/>
  <c r="U23" i="3"/>
  <c r="AA23" i="3"/>
  <c r="K24" i="3"/>
  <c r="L24" i="3"/>
  <c r="M24" i="3"/>
  <c r="N24" i="3"/>
  <c r="T24" i="3"/>
  <c r="U24" i="3"/>
  <c r="AA24" i="3"/>
  <c r="Y25" i="3"/>
  <c r="AA25" i="3"/>
  <c r="L26" i="3"/>
  <c r="M26" i="3"/>
  <c r="N26" i="3"/>
  <c r="T26" i="3"/>
  <c r="U26" i="3"/>
  <c r="Y26" i="3"/>
  <c r="Z26" i="3"/>
  <c r="AA26" i="3"/>
  <c r="L27" i="3"/>
  <c r="N27" i="3"/>
  <c r="T27" i="3"/>
  <c r="U27" i="3"/>
  <c r="C55" i="3"/>
  <c r="B75" i="4" s="1"/>
  <c r="E13" i="9"/>
  <c r="F13" i="9"/>
  <c r="G13" i="9"/>
  <c r="H13" i="9"/>
  <c r="E29" i="9"/>
  <c r="F29" i="9"/>
  <c r="G29" i="9"/>
  <c r="H29" i="9"/>
  <c r="B74" i="13"/>
  <c r="U13" i="3" l="1"/>
  <c r="K20" i="4"/>
  <c r="I20" i="4"/>
  <c r="J20" i="4"/>
  <c r="O26" i="4"/>
  <c r="W26" i="13"/>
  <c r="AC26" i="13"/>
  <c r="AB26" i="13"/>
  <c r="M13" i="3"/>
  <c r="N26" i="4"/>
  <c r="AA26" i="13"/>
  <c r="U26" i="13"/>
  <c r="X26" i="13"/>
  <c r="Z26" i="13"/>
  <c r="M26" i="4"/>
  <c r="Y26" i="13"/>
  <c r="AA43" i="4"/>
  <c r="L13" i="3"/>
  <c r="K13" i="3"/>
  <c r="N13" i="3"/>
  <c r="AA39" i="4"/>
  <c r="J26" i="4"/>
  <c r="K26" i="4"/>
  <c r="AA40" i="4"/>
  <c r="I26" i="4"/>
  <c r="AA38" i="4"/>
  <c r="AA98" i="13"/>
  <c r="AA37" i="4"/>
  <c r="AA36" i="4"/>
  <c r="V36" i="4"/>
  <c r="AA35" i="4"/>
  <c r="AA34" i="4"/>
  <c r="Q2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yvonne_eu</author>
  </authors>
  <commentList>
    <comment ref="AC23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>yvonne_eu:</t>
        </r>
        <r>
          <rPr>
            <sz val="8"/>
            <color indexed="81"/>
            <rFont val="Tahoma"/>
            <family val="2"/>
          </rPr>
          <t xml:space="preserve">
health+life+annuity</t>
        </r>
      </text>
    </comment>
  </commentList>
</comments>
</file>

<file path=xl/sharedStrings.xml><?xml version="1.0" encoding="utf-8"?>
<sst xmlns="http://schemas.openxmlformats.org/spreadsheetml/2006/main" count="670" uniqueCount="268">
  <si>
    <t>Year</t>
  </si>
  <si>
    <t>Notes</t>
  </si>
  <si>
    <t>Investments</t>
  </si>
  <si>
    <t>Net foreign assets</t>
  </si>
  <si>
    <t>TOTAL ASSETS</t>
  </si>
  <si>
    <t>Deposits:</t>
  </si>
  <si>
    <t xml:space="preserve">  Savings</t>
  </si>
  <si>
    <t xml:space="preserve">  Fixed</t>
  </si>
  <si>
    <t>All deposits</t>
  </si>
  <si>
    <t>Other liabilities</t>
  </si>
  <si>
    <r>
      <t>Own funds</t>
    </r>
    <r>
      <rPr>
        <vertAlign val="superscript"/>
        <sz val="10"/>
        <rFont val="Arial"/>
        <family val="2"/>
      </rPr>
      <t>1</t>
    </r>
  </si>
  <si>
    <t>(Capital &amp; surplus)</t>
  </si>
  <si>
    <t>The difference between assets and liabilities.</t>
  </si>
  <si>
    <t>Industry</t>
  </si>
  <si>
    <t>Utilities</t>
  </si>
  <si>
    <t>Construction</t>
  </si>
  <si>
    <t>Other</t>
  </si>
  <si>
    <t>Assets</t>
  </si>
  <si>
    <t>Percent change</t>
  </si>
  <si>
    <t>Liabilities</t>
  </si>
  <si>
    <t xml:space="preserve"> </t>
  </si>
  <si>
    <t>Annual average</t>
  </si>
  <si>
    <t>Total</t>
  </si>
  <si>
    <t>Currency in Circulation</t>
  </si>
  <si>
    <r>
      <t>Limited Duration</t>
    </r>
    <r>
      <rPr>
        <b/>
        <vertAlign val="superscript"/>
        <sz val="10"/>
        <rFont val="Arial"/>
        <family val="2"/>
      </rPr>
      <t>5</t>
    </r>
  </si>
  <si>
    <t>Percent Change</t>
  </si>
  <si>
    <t>All Companies registered under the Companies Law must maintain a registered office</t>
  </si>
  <si>
    <t>Ordinary Company means a local company carrying on business in the Cayman</t>
  </si>
  <si>
    <t>Islands.  In order to trade locally such a company must also obtain a licence under</t>
  </si>
  <si>
    <t xml:space="preserve">Local Companies (Control) Law.  </t>
  </si>
  <si>
    <t>Exempt Company means a company whose proposed activities are to be carried out</t>
  </si>
  <si>
    <t>mainly outside the islands (offshore).  An exempted company enjoys benefits under</t>
  </si>
  <si>
    <t>the law which are not available to other companies under the law, chief of which is an</t>
  </si>
  <si>
    <t>carrying on business within the islands.</t>
  </si>
  <si>
    <t xml:space="preserve">Local Companies (Control) Law. </t>
  </si>
  <si>
    <t xml:space="preserve">  issued during year</t>
  </si>
  <si>
    <t xml:space="preserve">  current at year-end</t>
  </si>
  <si>
    <t>N/A</t>
  </si>
  <si>
    <t>Gross assets at year-end</t>
  </si>
  <si>
    <t>ALL LICENCES</t>
  </si>
  <si>
    <t>Mutual Fund Administrators</t>
  </si>
  <si>
    <t>Gross assets at year-end (US$mil)</t>
  </si>
  <si>
    <t>2002*</t>
  </si>
  <si>
    <t>Balances with Banks &amp; Branches</t>
  </si>
  <si>
    <t>-</t>
  </si>
  <si>
    <t xml:space="preserve">  Motor</t>
  </si>
  <si>
    <t xml:space="preserve">  Property and other</t>
  </si>
  <si>
    <t>Resident</t>
  </si>
  <si>
    <t xml:space="preserve">Gross Written Premiums </t>
  </si>
  <si>
    <t>Property Statistics</t>
  </si>
  <si>
    <t>Motor Statistics</t>
  </si>
  <si>
    <t xml:space="preserve">Liability &amp; Casualty Statistics </t>
  </si>
  <si>
    <t>Marine &amp; Aviation Statistics</t>
  </si>
  <si>
    <t>Health Statistics</t>
  </si>
  <si>
    <t>Workmen's Compensation Stats</t>
  </si>
  <si>
    <t>Life Statistics</t>
  </si>
  <si>
    <t>Annuity &amp; Other Statistics</t>
  </si>
  <si>
    <t>TOTAL</t>
  </si>
  <si>
    <t>Other Assets</t>
  </si>
  <si>
    <t>Fixed Assets</t>
  </si>
  <si>
    <t>Notes &amp; Coins</t>
  </si>
  <si>
    <t xml:space="preserve">    - liability </t>
  </si>
  <si>
    <t xml:space="preserve">    - casualty</t>
  </si>
  <si>
    <t>Loans and Advances Resident &amp; Non Resident</t>
  </si>
  <si>
    <t xml:space="preserve">. . </t>
  </si>
  <si>
    <t>in the Islands.</t>
  </si>
  <si>
    <t xml:space="preserve">  Life, annuity and health</t>
  </si>
  <si>
    <t>years</t>
  </si>
  <si>
    <t>All Deposits</t>
  </si>
  <si>
    <t>Note:</t>
  </si>
  <si>
    <t xml:space="preserve">  Demand</t>
  </si>
  <si>
    <t>Trust licences permit the holders to undertake local and overseas trust business.</t>
  </si>
  <si>
    <t>Foreign Company means a corporate body incorporated outside the islands but is</t>
  </si>
  <si>
    <t>Nominee Trust licences permit the holders to act only as a nominee for its parent.</t>
  </si>
  <si>
    <t>Islands.</t>
  </si>
  <si>
    <t>Quarter 1</t>
  </si>
  <si>
    <t>Quarter 2</t>
  </si>
  <si>
    <t>Quarter 3</t>
  </si>
  <si>
    <t>Quarter 4</t>
  </si>
  <si>
    <t>Domestic Insurance</t>
  </si>
  <si>
    <t xml:space="preserve">  Total</t>
  </si>
  <si>
    <t>Trust Only</t>
  </si>
  <si>
    <t>Nominee Trust</t>
  </si>
  <si>
    <t>Stock Exchange Listings</t>
  </si>
  <si>
    <t>Mutual Funds</t>
  </si>
  <si>
    <t>Secondary Equity</t>
  </si>
  <si>
    <t>Instruments</t>
  </si>
  <si>
    <t>"Class A" licences permit the holders to undertake both local and overseas business.</t>
  </si>
  <si>
    <t>Loans &amp; Advances:</t>
  </si>
  <si>
    <t>Credit to Businesses</t>
  </si>
  <si>
    <t>Manufacturing</t>
  </si>
  <si>
    <t>Services</t>
  </si>
  <si>
    <t>Trade and Commerce</t>
  </si>
  <si>
    <t>Other Financial Corporations</t>
  </si>
  <si>
    <t>Credit to Households</t>
  </si>
  <si>
    <t>Production</t>
  </si>
  <si>
    <t>"Class B" licences permit the holders to undertake banking and trust business overseas and limited domestic activity.</t>
  </si>
  <si>
    <t>Non-Resident</t>
  </si>
  <si>
    <t>Gross domestic premiums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</si>
  <si>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Cayman Islands Monetary Authority (CIMA) 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</si>
  <si>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Monetary Authority (CIMA)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</si>
  <si>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General Registry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</si>
  <si>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Stock Exchange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</si>
  <si>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Monetary Authority (CIMA) www.cimoney.com.ky</t>
    </r>
  </si>
  <si>
    <t>Prime lending rate for CI$ denominated loans</t>
  </si>
  <si>
    <t>Miscellaneous</t>
  </si>
  <si>
    <t>US$ Million</t>
  </si>
  <si>
    <t>Ordinary Non-Resident</t>
  </si>
  <si>
    <t>Ordinary Resident</t>
  </si>
  <si>
    <t>Exempt</t>
  </si>
  <si>
    <t>Foreign</t>
  </si>
  <si>
    <t>the law which are not available to other companies, chief of which is an</t>
  </si>
  <si>
    <r>
      <t xml:space="preserve"> Insurance</t>
    </r>
    <r>
      <rPr>
        <b/>
        <sz val="10"/>
        <rFont val="Arial"/>
        <family val="2"/>
      </rPr>
      <t xml:space="preserve"> </t>
    </r>
    <r>
      <rPr>
        <b/>
        <sz val="11"/>
        <rFont val="Arial"/>
        <family val="2"/>
      </rPr>
      <t>Licences</t>
    </r>
  </si>
  <si>
    <t>Insurance Licences includes approved external and ordinary class A insurers</t>
  </si>
  <si>
    <t>Insurance Agents' licences</t>
  </si>
  <si>
    <t xml:space="preserve">Insurance Agents' licences includes: agents, sub-agents, brokers, insurance managers, offshore brokers, </t>
  </si>
  <si>
    <t>and principal representatives.</t>
  </si>
  <si>
    <t>premium volume.</t>
  </si>
  <si>
    <t>Offshore Insurance Licences</t>
  </si>
  <si>
    <t xml:space="preserve">Gross premiums written may be understated due to net premiums being quoted by some companies. </t>
  </si>
  <si>
    <t>Gross premiums written (US$mil)</t>
  </si>
  <si>
    <t xml:space="preserve">Net retained earnings includes investment income after deduction of claims paid and reserved, and all </t>
  </si>
  <si>
    <t>other expenses.</t>
  </si>
  <si>
    <t>Position at end of year, CI$ (000)</t>
  </si>
  <si>
    <t>Non Profit Organizations</t>
  </si>
  <si>
    <t>Agriculture, fishing and mining</t>
  </si>
  <si>
    <t>Transportation, storage &amp; communication</t>
  </si>
  <si>
    <t>Accommodation, food, bar &amp; entertainment services</t>
  </si>
  <si>
    <t>Education, recreational &amp; other professional services</t>
  </si>
  <si>
    <t>Wholesale &amp; retail sales trade</t>
  </si>
  <si>
    <t>Real estate agents, rental and leasing companies</t>
  </si>
  <si>
    <t>Other business activities (general business activity)</t>
  </si>
  <si>
    <t>Motor vehicles</t>
  </si>
  <si>
    <t>Education and technology</t>
  </si>
  <si>
    <t>Domestic property</t>
  </si>
  <si>
    <t>Domestic banks include local/retail and other Class A banks</t>
  </si>
  <si>
    <t>Total Assets</t>
  </si>
  <si>
    <t>Net Foreign Assets</t>
  </si>
  <si>
    <t>Net Domestic Assets</t>
  </si>
  <si>
    <t>Domestic Credit</t>
  </si>
  <si>
    <t>Broad Liquidity</t>
  </si>
  <si>
    <t>Broad money (KYD) M2</t>
  </si>
  <si>
    <t>FOREX deposits</t>
  </si>
  <si>
    <t>Financial position of Captives</t>
  </si>
  <si>
    <t xml:space="preserve">  Claims on central Government</t>
  </si>
  <si>
    <t xml:space="preserve">  Claims on other public sector</t>
  </si>
  <si>
    <t xml:space="preserve">  Claims on private sector</t>
  </si>
  <si>
    <t xml:space="preserve">  Currency in circulation</t>
  </si>
  <si>
    <t xml:space="preserve">  KYD Deposits</t>
  </si>
  <si>
    <t xml:space="preserve">  Demand Deposits</t>
  </si>
  <si>
    <t xml:space="preserve">  Time and savings deposits</t>
  </si>
  <si>
    <t xml:space="preserve">  Of which: US dollars</t>
  </si>
  <si>
    <r>
      <t xml:space="preserve">Source: </t>
    </r>
    <r>
      <rPr>
        <sz val="10"/>
        <rFont val="Arial"/>
        <family val="2"/>
      </rPr>
      <t>Cayman Islands Monetary Authority (CIMA)</t>
    </r>
  </si>
  <si>
    <t>(Percent)</t>
  </si>
  <si>
    <t>Shareholders equity</t>
  </si>
  <si>
    <t>Miscellaneous include consolidated debt, insurance, medical and travel.</t>
  </si>
  <si>
    <t>Net retained earnings (US$mil)</t>
  </si>
  <si>
    <t>written (CI$mil)</t>
  </si>
  <si>
    <t xml:space="preserve">Gross assets of offshore captives do not represent total consolidated assets, but only those related to operations in the Cayman </t>
  </si>
  <si>
    <t xml:space="preserve">  Administered</t>
  </si>
  <si>
    <t xml:space="preserve">  Licensed</t>
  </si>
  <si>
    <t xml:space="preserve">  Registered</t>
  </si>
  <si>
    <t xml:space="preserve">  Master</t>
  </si>
  <si>
    <t xml:space="preserve">Total </t>
  </si>
  <si>
    <t xml:space="preserve">  Exempted</t>
  </si>
  <si>
    <t xml:space="preserve">  Full</t>
  </si>
  <si>
    <t xml:space="preserve">  Restricted</t>
  </si>
  <si>
    <t>(US$ Billion)</t>
  </si>
  <si>
    <t xml:space="preserve">Gross domestic premiums are recorded before deduction of reinsurance and acquisition costs, and before adjusting for unearned </t>
  </si>
  <si>
    <t>Total liabilities and shareholders equity</t>
  </si>
  <si>
    <t>Other Items (net)</t>
  </si>
  <si>
    <t xml:space="preserve">  Commercial Banks</t>
  </si>
  <si>
    <t xml:space="preserve">     Monetary Authority</t>
  </si>
  <si>
    <t>exemption from any taxes which may be imposed in the islands for 20 years.</t>
  </si>
  <si>
    <t>Master fund is a mutual fund that is incorporated or established in the Islands that holds investments and conducts trading activities and has one or more regulated feeder funds.</t>
  </si>
  <si>
    <t>STATISTICAL COMPENDIUM 2013</t>
  </si>
  <si>
    <t>Insurance Linked Security</t>
  </si>
  <si>
    <t>..</t>
  </si>
  <si>
    <t>As per the insurance law 2010, Offshore Insurance Licences now refer to class B, C and D licensees</t>
  </si>
  <si>
    <t>CI$ millions</t>
  </si>
  <si>
    <t>STATISTICAL COMPENDIUM 2014</t>
  </si>
  <si>
    <t>Liabilities and Shareholders Equity  in Cayman Islands Currency of      
Local Banks, 2010 - 2014</t>
  </si>
  <si>
    <t>12.02b</t>
  </si>
  <si>
    <t>Domestic Retail Banks' Assets held in Cayman Islands Currency, 2010 -  2015</t>
  </si>
  <si>
    <t>Insurance Statistics, 2010 -  2015</t>
  </si>
  <si>
    <t>Class A (Domestic) Insurers</t>
  </si>
  <si>
    <t>Total Insurance Companies</t>
  </si>
  <si>
    <t>Total Class A</t>
  </si>
  <si>
    <t>Monetary Authority</t>
  </si>
  <si>
    <t>Commercial Banks</t>
  </si>
  <si>
    <t xml:space="preserve">Net Domestic Assets </t>
  </si>
  <si>
    <t>Central Government</t>
  </si>
  <si>
    <t xml:space="preserve">Other Public Sector </t>
  </si>
  <si>
    <t>QTR 1</t>
  </si>
  <si>
    <t>QTR 2</t>
  </si>
  <si>
    <t>QTR 3</t>
  </si>
  <si>
    <t>QTR 4</t>
  </si>
  <si>
    <t>Private Sector</t>
  </si>
  <si>
    <t>In  Thousands of Cayman Islands Dollars (CI$'000)</t>
  </si>
  <si>
    <t>Total Liabilities</t>
  </si>
  <si>
    <t>Money Supply (M1)</t>
  </si>
  <si>
    <t>Demand Deposits</t>
  </si>
  <si>
    <t>Savings Deposits</t>
  </si>
  <si>
    <t>Fixed Deposits</t>
  </si>
  <si>
    <t>Foreign Currency Deposits</t>
  </si>
  <si>
    <t>Quasi Money - Residents</t>
  </si>
  <si>
    <t>Foreign Assets</t>
  </si>
  <si>
    <t>Foreign Liabilities</t>
  </si>
  <si>
    <t>Total Investment</t>
  </si>
  <si>
    <t>Total Non-Resident Loans</t>
  </si>
  <si>
    <t>Total Non-resident Deposits</t>
  </si>
  <si>
    <t>Other Liabilities</t>
  </si>
  <si>
    <t>Foreign Assets and Laibilities</t>
  </si>
  <si>
    <t>Loans &amp; Advances to Banks &amp; Branches</t>
  </si>
  <si>
    <t>Total Deposits</t>
  </si>
  <si>
    <t>Residents</t>
  </si>
  <si>
    <t>Non-Residents</t>
  </si>
  <si>
    <t>Total Loans</t>
  </si>
  <si>
    <t>Deposits</t>
  </si>
  <si>
    <t>Loans</t>
  </si>
  <si>
    <t>Retail Debt Security</t>
  </si>
  <si>
    <t>Primary Equity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</si>
  <si>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Cayman Islands Monetary Authority &amp;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Economics &amp; Statistics Office</t>
    </r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</si>
  <si>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>: Cayman Islands Monetary Authority and Economics &amp; Statistics Office</t>
    </r>
  </si>
  <si>
    <t>12.02a</t>
  </si>
  <si>
    <t>12.03b</t>
  </si>
  <si>
    <t>12.03a</t>
  </si>
  <si>
    <t>12.03c</t>
  </si>
  <si>
    <t>Foundation</t>
  </si>
  <si>
    <t>Total Class B, C, D</t>
  </si>
  <si>
    <t>Captives (International) Insurers</t>
  </si>
  <si>
    <t>Class B     SPCs Only</t>
  </si>
  <si>
    <t>Limited  Liability</t>
  </si>
  <si>
    <t>Limited Liability Company has separate legal identity, therefore the members of the</t>
  </si>
  <si>
    <t>company cannot be held personally liable for the company's debts or liabilities.</t>
  </si>
  <si>
    <t xml:space="preserve">Foundation Company is a separate legal entity which may be formed by any person </t>
  </si>
  <si>
    <t xml:space="preserve">for any lawful object, which need not be beneficial to other persons, provided it </t>
  </si>
  <si>
    <t>falls within the wide parameters permitted by the legislation.</t>
  </si>
  <si>
    <t>Limited Liability</t>
  </si>
  <si>
    <t>Class B Excluding SPCs*</t>
  </si>
  <si>
    <t>* SPC - Special Purpose Companies</t>
  </si>
  <si>
    <t>Specialist Debt Security</t>
  </si>
  <si>
    <t>Sovereign Debt Security</t>
  </si>
  <si>
    <t>Limited Investor*</t>
  </si>
  <si>
    <t>*Commenced operations in 2020</t>
  </si>
  <si>
    <t>Class "A" Bank Only</t>
  </si>
  <si>
    <r>
      <t>Class "A" Bank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and Trust </t>
    </r>
  </si>
  <si>
    <t xml:space="preserve"> Class "B" Bank Only</t>
  </si>
  <si>
    <r>
      <t>Class "B" Bank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and Trust</t>
    </r>
  </si>
  <si>
    <t>COMPENDIUM OF STATISTICS 2022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</si>
  <si>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Bank of International Settlements (BIS)</t>
    </r>
  </si>
  <si>
    <r>
      <t>Domestic Bank Loans and Advances to Private Sector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by Industry, 2016 - 2022</t>
    </r>
  </si>
  <si>
    <t>Money and Banking Survey, 2015 - 2023</t>
  </si>
  <si>
    <t>COMPENDIUM OF STATISTICS 2023</t>
  </si>
  <si>
    <t>Weighted Average Rate on KYD Loans,  2012 - 2023</t>
  </si>
  <si>
    <t>Total Assets of Domestic Retail Banks, 2006 - 2023</t>
  </si>
  <si>
    <t>External Assets and Liabilities of All Banks, 1990 - 2023</t>
  </si>
  <si>
    <t>Total Deposits and Total Loans of Domestic Retail Banks, 2013 - 2023</t>
  </si>
  <si>
    <t>Foreign Assets and Liabilities of Domestic Retail Banks, 2013 - 2023</t>
  </si>
  <si>
    <t>Total Liabilities of Domestic Retail Banks, 2013 - 2023</t>
  </si>
  <si>
    <t>Number of Banks and Trust Licences, 1991 -  2023</t>
  </si>
  <si>
    <t xml:space="preserve"> Number of Active Company Registrations by Type, 1992 - 2023</t>
  </si>
  <si>
    <t>Number of New Company Registrations by Type, 1992 - 2023</t>
  </si>
  <si>
    <t xml:space="preserve">                                                 Insurance Statistics, 2003 - 2023</t>
  </si>
  <si>
    <t>Number of Mutual Funds and Fund Administrators, 2015 - 2023</t>
  </si>
  <si>
    <t>Number of Stock Listings by Instrument, 2017 -  2023</t>
  </si>
  <si>
    <t>Stock Market Capitalization by Instrument, 2017 - 2023</t>
  </si>
  <si>
    <t xml:space="preserve"> Average Prime Interest Lending Rate,  2012 - 2023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</si>
</sst>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-\ #\ \-"/>
    <numFmt numFmtId="165" formatCode="0.0"/>
    <numFmt numFmtId="166" formatCode="_(* #,##0.0_);_(* \(#,##0.0\);_(* &quot;-&quot;??_);_(@_)"/>
    <numFmt numFmtId="167" formatCode="_(* #,##0_);_(* \(#,##0\);_(* &quot;-&quot;??_);_(@_)"/>
    <numFmt numFmtId="168" formatCode="0\ &quot;cents&quot;"/>
    <numFmt numFmtId="169" formatCode="0&quot;est.&quot;"/>
    <numFmt numFmtId="170" formatCode="0.0&quot;est.&quot;"/>
    <numFmt numFmtId="171" formatCode="\(0.0\)"/>
    <numFmt numFmtId="172" formatCode="0.0_);\(0.0\)"/>
    <numFmt numFmtId="173" formatCode="_(&quot;$&quot;* #,##0_);_(&quot;$&quot;* \(#,##0\);_(&quot;$&quot;* &quot;-&quot;??_);_(@_)"/>
    <numFmt numFmtId="174" formatCode="#,##0.0"/>
  </numFmts>
  <fonts count="3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Book Antiqua"/>
      <family val="1"/>
    </font>
    <font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b/>
      <vertAlign val="superscript"/>
      <sz val="12"/>
      <name val="Arial"/>
      <family val="2"/>
    </font>
    <font>
      <b/>
      <sz val="11"/>
      <name val="Arial"/>
      <family val="2"/>
    </font>
    <font>
      <sz val="11"/>
      <name val="Book Antiqua"/>
      <family val="1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theme="0" tint="-0.3499862666707357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52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167" fontId="0" fillId="0" borderId="0" xfId="1" applyNumberFormat="1" applyFont="1"/>
    <xf numFmtId="165" fontId="0" fillId="0" borderId="0" xfId="0" applyNumberFormat="1"/>
    <xf numFmtId="0" fontId="0" fillId="0" borderId="0" xfId="0" applyBorder="1"/>
    <xf numFmtId="0" fontId="2" fillId="0" borderId="0" xfId="0" applyFont="1"/>
    <xf numFmtId="167" fontId="0" fillId="0" borderId="0" xfId="0" applyNumberFormat="1"/>
    <xf numFmtId="3" fontId="0" fillId="0" borderId="0" xfId="0" applyNumberFormat="1"/>
    <xf numFmtId="0" fontId="1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0" fillId="0" borderId="0" xfId="0" applyAlignment="1"/>
    <xf numFmtId="0" fontId="9" fillId="0" borderId="2" xfId="0" applyFont="1" applyBorder="1"/>
    <xf numFmtId="9" fontId="0" fillId="0" borderId="0" xfId="4" applyFont="1"/>
    <xf numFmtId="0" fontId="9" fillId="0" borderId="0" xfId="0" applyFont="1"/>
    <xf numFmtId="0" fontId="0" fillId="0" borderId="0" xfId="0" applyFill="1"/>
    <xf numFmtId="167" fontId="0" fillId="0" borderId="0" xfId="0" applyNumberFormat="1" applyFill="1"/>
    <xf numFmtId="0" fontId="9" fillId="0" borderId="0" xfId="1" applyNumberFormat="1" applyFont="1"/>
    <xf numFmtId="0" fontId="9" fillId="0" borderId="2" xfId="0" applyFont="1" applyFill="1" applyBorder="1"/>
    <xf numFmtId="0" fontId="2" fillId="0" borderId="0" xfId="0" applyFont="1" applyBorder="1"/>
    <xf numFmtId="0" fontId="0" fillId="2" borderId="0" xfId="0" applyFill="1"/>
    <xf numFmtId="0" fontId="0" fillId="2" borderId="0" xfId="0" applyFill="1" applyAlignment="1">
      <alignment horizontal="centerContinuous"/>
    </xf>
    <xf numFmtId="166" fontId="0" fillId="0" borderId="0" xfId="0" applyNumberFormat="1"/>
    <xf numFmtId="0" fontId="0" fillId="0" borderId="0" xfId="0" applyFill="1" applyBorder="1"/>
    <xf numFmtId="0" fontId="14" fillId="0" borderId="0" xfId="0" applyFont="1"/>
    <xf numFmtId="0" fontId="14" fillId="0" borderId="0" xfId="0" applyFont="1" applyFill="1"/>
    <xf numFmtId="3" fontId="14" fillId="0" borderId="0" xfId="0" applyNumberFormat="1" applyFont="1"/>
    <xf numFmtId="0" fontId="13" fillId="0" borderId="0" xfId="0" applyFont="1"/>
    <xf numFmtId="0" fontId="13" fillId="0" borderId="0" xfId="0" applyFont="1" applyFill="1"/>
    <xf numFmtId="167" fontId="13" fillId="0" borderId="0" xfId="1" applyNumberFormat="1" applyFont="1"/>
    <xf numFmtId="0" fontId="13" fillId="0" borderId="0" xfId="0" applyFont="1" applyAlignment="1">
      <alignment wrapText="1"/>
    </xf>
    <xf numFmtId="173" fontId="0" fillId="0" borderId="0" xfId="0" applyNumberFormat="1"/>
    <xf numFmtId="43" fontId="0" fillId="0" borderId="0" xfId="0" applyNumberFormat="1"/>
    <xf numFmtId="165" fontId="0" fillId="0" borderId="0" xfId="2" applyNumberFormat="1" applyFont="1"/>
    <xf numFmtId="165" fontId="9" fillId="0" borderId="0" xfId="0" applyNumberFormat="1" applyFont="1"/>
    <xf numFmtId="0" fontId="9" fillId="0" borderId="0" xfId="0" applyFont="1" applyBorder="1"/>
    <xf numFmtId="0" fontId="17" fillId="0" borderId="0" xfId="0" applyFont="1" applyAlignment="1">
      <alignment horizontal="right"/>
    </xf>
    <xf numFmtId="3" fontId="7" fillId="0" borderId="0" xfId="0" applyNumberFormat="1" applyFont="1"/>
    <xf numFmtId="167" fontId="2" fillId="0" borderId="0" xfId="1" applyNumberFormat="1" applyFont="1" applyAlignment="1">
      <alignment horizontal="right"/>
    </xf>
    <xf numFmtId="0" fontId="20" fillId="0" borderId="0" xfId="0" applyFont="1"/>
    <xf numFmtId="0" fontId="20" fillId="0" borderId="0" xfId="0" applyFont="1" applyAlignment="1">
      <alignment wrapText="1"/>
    </xf>
    <xf numFmtId="165" fontId="20" fillId="0" borderId="0" xfId="2" applyNumberFormat="1" applyFont="1"/>
    <xf numFmtId="165" fontId="20" fillId="0" borderId="0" xfId="0" applyNumberFormat="1" applyFont="1"/>
    <xf numFmtId="0" fontId="9" fillId="0" borderId="0" xfId="0" applyFont="1" applyAlignment="1">
      <alignment horizontal="right"/>
    </xf>
    <xf numFmtId="37" fontId="0" fillId="0" borderId="0" xfId="0" applyNumberFormat="1"/>
    <xf numFmtId="0" fontId="0" fillId="0" borderId="0" xfId="0" applyFill="1" applyAlignment="1">
      <alignment horizontal="centerContinuous"/>
    </xf>
    <xf numFmtId="0" fontId="0" fillId="0" borderId="0" xfId="0" applyFill="1" applyAlignment="1"/>
    <xf numFmtId="0" fontId="0" fillId="3" borderId="0" xfId="0" applyFill="1" applyBorder="1"/>
    <xf numFmtId="0" fontId="5" fillId="0" borderId="0" xfId="0" applyFont="1" applyAlignment="1">
      <alignment horizontal="center"/>
    </xf>
    <xf numFmtId="2" fontId="5" fillId="3" borderId="0" xfId="0" applyNumberFormat="1" applyFont="1" applyFill="1" applyAlignment="1">
      <alignment horizontal="left"/>
    </xf>
    <xf numFmtId="0" fontId="0" fillId="3" borderId="0" xfId="0" applyFill="1"/>
    <xf numFmtId="167" fontId="26" fillId="3" borderId="0" xfId="1" applyNumberFormat="1" applyFont="1" applyFill="1"/>
    <xf numFmtId="167" fontId="26" fillId="3" borderId="0" xfId="1" applyNumberFormat="1" applyFont="1" applyFill="1" applyAlignment="1">
      <alignment horizontal="right"/>
    </xf>
    <xf numFmtId="167" fontId="26" fillId="3" borderId="0" xfId="1" applyNumberFormat="1" applyFont="1" applyFill="1" applyBorder="1"/>
    <xf numFmtId="167" fontId="26" fillId="3" borderId="1" xfId="1" applyNumberFormat="1" applyFont="1" applyFill="1" applyBorder="1"/>
    <xf numFmtId="0" fontId="7" fillId="3" borderId="0" xfId="0" applyFont="1" applyFill="1"/>
    <xf numFmtId="0" fontId="2" fillId="3" borderId="0" xfId="0" applyFont="1" applyFill="1" applyAlignment="1"/>
    <xf numFmtId="0" fontId="0" fillId="3" borderId="1" xfId="0" applyFill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9" fillId="3" borderId="2" xfId="0" applyFont="1" applyFill="1" applyBorder="1" applyAlignment="1">
      <alignment horizontal="right"/>
    </xf>
    <xf numFmtId="0" fontId="9" fillId="3" borderId="2" xfId="0" applyFont="1" applyFill="1" applyBorder="1"/>
    <xf numFmtId="0" fontId="7" fillId="3" borderId="2" xfId="0" applyFont="1" applyFill="1" applyBorder="1"/>
    <xf numFmtId="0" fontId="0" fillId="3" borderId="0" xfId="0" applyFill="1" applyAlignment="1">
      <alignment horizontal="left" indent="1"/>
    </xf>
    <xf numFmtId="0" fontId="9" fillId="3" borderId="0" xfId="0" applyFont="1" applyFill="1" applyBorder="1"/>
    <xf numFmtId="166" fontId="26" fillId="3" borderId="0" xfId="1" applyNumberFormat="1" applyFont="1" applyFill="1"/>
    <xf numFmtId="0" fontId="0" fillId="3" borderId="0" xfId="0" applyFill="1" applyAlignment="1">
      <alignment horizontal="right"/>
    </xf>
    <xf numFmtId="167" fontId="1" fillId="3" borderId="0" xfId="1" applyNumberFormat="1" applyFont="1" applyFill="1"/>
    <xf numFmtId="0" fontId="2" fillId="3" borderId="0" xfId="0" applyFont="1" applyFill="1" applyAlignment="1">
      <alignment horizontal="left" indent="1"/>
    </xf>
    <xf numFmtId="0" fontId="1" fillId="3" borderId="0" xfId="0" applyFont="1" applyFill="1"/>
    <xf numFmtId="0" fontId="3" fillId="3" borderId="0" xfId="0" applyFont="1" applyFill="1" applyAlignment="1">
      <alignment horizontal="right" vertical="center"/>
    </xf>
    <xf numFmtId="0" fontId="2" fillId="3" borderId="0" xfId="0" applyFont="1" applyFill="1"/>
    <xf numFmtId="0" fontId="3" fillId="3" borderId="0" xfId="0" applyFont="1" applyFill="1" applyAlignment="1">
      <alignment horizontal="center" vertical="center"/>
    </xf>
    <xf numFmtId="0" fontId="1" fillId="3" borderId="2" xfId="0" applyFont="1" applyFill="1" applyBorder="1"/>
    <xf numFmtId="167" fontId="2" fillId="3" borderId="0" xfId="1" applyNumberFormat="1" applyFont="1" applyFill="1"/>
    <xf numFmtId="37" fontId="1" fillId="3" borderId="0" xfId="1" applyNumberFormat="1" applyFont="1" applyFill="1" applyBorder="1"/>
    <xf numFmtId="167" fontId="1" fillId="3" borderId="0" xfId="1" applyNumberFormat="1" applyFont="1" applyFill="1" applyBorder="1"/>
    <xf numFmtId="37" fontId="2" fillId="3" borderId="0" xfId="1" applyNumberFormat="1" applyFont="1" applyFill="1"/>
    <xf numFmtId="167" fontId="24" fillId="3" borderId="0" xfId="1" applyNumberFormat="1" applyFont="1" applyFill="1"/>
    <xf numFmtId="37" fontId="11" fillId="3" borderId="0" xfId="0" applyNumberFormat="1" applyFont="1" applyFill="1"/>
    <xf numFmtId="37" fontId="12" fillId="3" borderId="0" xfId="0" applyNumberFormat="1" applyFont="1" applyFill="1"/>
    <xf numFmtId="167" fontId="12" fillId="3" borderId="0" xfId="1" applyNumberFormat="1" applyFont="1" applyFill="1"/>
    <xf numFmtId="0" fontId="12" fillId="3" borderId="0" xfId="0" applyFont="1" applyFill="1"/>
    <xf numFmtId="37" fontId="12" fillId="3" borderId="0" xfId="1" applyNumberFormat="1" applyFont="1" applyFill="1"/>
    <xf numFmtId="0" fontId="12" fillId="3" borderId="0" xfId="0" applyFont="1" applyFill="1" applyAlignment="1">
      <alignment wrapText="1"/>
    </xf>
    <xf numFmtId="0" fontId="12" fillId="3" borderId="0" xfId="0" applyFont="1" applyFill="1" applyAlignment="1">
      <alignment horizontal="left" indent="1"/>
    </xf>
    <xf numFmtId="0" fontId="2" fillId="3" borderId="1" xfId="0" applyFont="1" applyFill="1" applyBorder="1"/>
    <xf numFmtId="0" fontId="2" fillId="3" borderId="0" xfId="0" applyFont="1" applyFill="1" applyBorder="1"/>
    <xf numFmtId="167" fontId="7" fillId="3" borderId="0" xfId="1" applyNumberFormat="1" applyFont="1" applyFill="1"/>
    <xf numFmtId="167" fontId="26" fillId="3" borderId="0" xfId="1" applyNumberFormat="1" applyFont="1" applyFill="1" applyAlignment="1">
      <alignment horizontal="center"/>
    </xf>
    <xf numFmtId="167" fontId="12" fillId="3" borderId="0" xfId="1" applyNumberFormat="1" applyFont="1" applyFill="1" applyAlignment="1">
      <alignment horizontal="center"/>
    </xf>
    <xf numFmtId="167" fontId="9" fillId="3" borderId="0" xfId="1" applyNumberFormat="1" applyFont="1" applyFill="1"/>
    <xf numFmtId="0" fontId="3" fillId="3" borderId="0" xfId="0" applyFont="1" applyFill="1" applyAlignment="1">
      <alignment horizontal="center"/>
    </xf>
    <xf numFmtId="0" fontId="9" fillId="3" borderId="0" xfId="0" applyFont="1" applyFill="1" applyBorder="1" applyAlignment="1">
      <alignment horizontal="right"/>
    </xf>
    <xf numFmtId="0" fontId="7" fillId="3" borderId="0" xfId="0" applyFont="1" applyFill="1" applyAlignment="1">
      <alignment horizontal="left" indent="2"/>
    </xf>
    <xf numFmtId="0" fontId="14" fillId="3" borderId="0" xfId="0" applyFont="1" applyFill="1"/>
    <xf numFmtId="0" fontId="0" fillId="3" borderId="0" xfId="0" applyFill="1" applyAlignment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right"/>
    </xf>
    <xf numFmtId="0" fontId="22" fillId="3" borderId="0" xfId="0" applyFont="1" applyFill="1"/>
    <xf numFmtId="0" fontId="22" fillId="3" borderId="0" xfId="0" applyFont="1" applyFill="1" applyAlignment="1">
      <alignment horizontal="left" indent="1"/>
    </xf>
    <xf numFmtId="0" fontId="0" fillId="3" borderId="0" xfId="0" applyFill="1" applyAlignment="1">
      <alignment horizontal="left" indent="2"/>
    </xf>
    <xf numFmtId="165" fontId="9" fillId="3" borderId="0" xfId="0" applyNumberFormat="1" applyFont="1" applyFill="1"/>
    <xf numFmtId="0" fontId="11" fillId="3" borderId="0" xfId="0" applyFont="1" applyFill="1"/>
    <xf numFmtId="167" fontId="20" fillId="3" borderId="0" xfId="1" applyNumberFormat="1" applyFont="1" applyFill="1"/>
    <xf numFmtId="165" fontId="20" fillId="3" borderId="0" xfId="0" applyNumberFormat="1" applyFont="1" applyFill="1"/>
    <xf numFmtId="166" fontId="20" fillId="3" borderId="0" xfId="0" applyNumberFormat="1" applyFont="1" applyFill="1"/>
    <xf numFmtId="170" fontId="26" fillId="3" borderId="0" xfId="1" applyNumberFormat="1" applyFont="1" applyFill="1"/>
    <xf numFmtId="166" fontId="26" fillId="3" borderId="0" xfId="1" applyNumberFormat="1" applyFont="1" applyFill="1" applyAlignment="1">
      <alignment horizontal="right"/>
    </xf>
    <xf numFmtId="166" fontId="2" fillId="3" borderId="0" xfId="0" applyNumberFormat="1" applyFont="1" applyFill="1" applyAlignment="1">
      <alignment horizontal="right"/>
    </xf>
    <xf numFmtId="166" fontId="24" fillId="3" borderId="0" xfId="1" applyNumberFormat="1" applyFont="1" applyFill="1"/>
    <xf numFmtId="166" fontId="7" fillId="3" borderId="0" xfId="1" applyNumberFormat="1" applyFont="1" applyFill="1"/>
    <xf numFmtId="170" fontId="7" fillId="3" borderId="0" xfId="1" applyNumberFormat="1" applyFont="1" applyFill="1"/>
    <xf numFmtId="0" fontId="22" fillId="3" borderId="0" xfId="0" applyFont="1" applyFill="1" applyAlignment="1"/>
    <xf numFmtId="169" fontId="26" fillId="3" borderId="0" xfId="1" applyNumberFormat="1" applyFont="1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7" fillId="3" borderId="0" xfId="0" applyFont="1" applyFill="1" applyAlignment="1">
      <alignment horizontal="right"/>
    </xf>
    <xf numFmtId="167" fontId="0" fillId="0" borderId="0" xfId="1" applyNumberFormat="1" applyFont="1" applyBorder="1"/>
    <xf numFmtId="0" fontId="5" fillId="3" borderId="0" xfId="0" applyFont="1" applyFill="1" applyAlignment="1"/>
    <xf numFmtId="0" fontId="2" fillId="0" borderId="0" xfId="0" applyFont="1" applyFill="1" applyBorder="1"/>
    <xf numFmtId="0" fontId="5" fillId="3" borderId="0" xfId="0" applyFont="1" applyFill="1" applyAlignment="1">
      <alignment horizontal="left" vertical="center" wrapText="1"/>
    </xf>
    <xf numFmtId="167" fontId="2" fillId="3" borderId="0" xfId="1" applyNumberFormat="1" applyFont="1" applyFill="1" applyAlignment="1">
      <alignment vertical="top"/>
    </xf>
    <xf numFmtId="0" fontId="28" fillId="3" borderId="1" xfId="0" applyFont="1" applyFill="1" applyBorder="1" applyAlignment="1"/>
    <xf numFmtId="0" fontId="28" fillId="3" borderId="0" xfId="0" applyFont="1" applyFill="1" applyBorder="1" applyAlignment="1"/>
    <xf numFmtId="0" fontId="29" fillId="0" borderId="0" xfId="0" applyFont="1" applyFill="1"/>
    <xf numFmtId="167" fontId="29" fillId="0" borderId="0" xfId="1" applyNumberFormat="1" applyFont="1" applyFill="1"/>
    <xf numFmtId="0" fontId="2" fillId="0" borderId="0" xfId="0" applyFont="1" applyFill="1"/>
    <xf numFmtId="2" fontId="5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1" xfId="0" applyFill="1" applyBorder="1"/>
    <xf numFmtId="0" fontId="2" fillId="0" borderId="0" xfId="0" applyFont="1" applyFill="1" applyAlignment="1"/>
    <xf numFmtId="164" fontId="0" fillId="0" borderId="0" xfId="0" applyNumberFormat="1" applyFill="1" applyAlignment="1"/>
    <xf numFmtId="0" fontId="32" fillId="0" borderId="0" xfId="0" applyFont="1" applyFill="1"/>
    <xf numFmtId="0" fontId="33" fillId="0" borderId="0" xfId="0" applyFont="1" applyFill="1"/>
    <xf numFmtId="167" fontId="32" fillId="0" borderId="0" xfId="0" applyNumberFormat="1" applyFont="1" applyFill="1"/>
    <xf numFmtId="0" fontId="33" fillId="0" borderId="0" xfId="0" applyFont="1" applyFill="1" applyBorder="1"/>
    <xf numFmtId="167" fontId="32" fillId="0" borderId="0" xfId="1" applyNumberFormat="1" applyFont="1" applyFill="1"/>
    <xf numFmtId="0" fontId="1" fillId="0" borderId="0" xfId="0" applyFont="1" applyFill="1"/>
    <xf numFmtId="0" fontId="17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7" fillId="0" borderId="0" xfId="0" applyFont="1" applyFill="1" applyAlignment="1"/>
    <xf numFmtId="2" fontId="5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0" fontId="7" fillId="0" borderId="0" xfId="0" applyFont="1" applyFill="1"/>
    <xf numFmtId="0" fontId="9" fillId="0" borderId="0" xfId="0" applyFont="1" applyFill="1"/>
    <xf numFmtId="0" fontId="13" fillId="0" borderId="0" xfId="0" applyFont="1" applyFill="1" applyBorder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/>
    <xf numFmtId="0" fontId="30" fillId="0" borderId="0" xfId="0" applyFont="1" applyFill="1"/>
    <xf numFmtId="2" fontId="30" fillId="0" borderId="0" xfId="0" applyNumberFormat="1" applyFont="1" applyFill="1"/>
    <xf numFmtId="0" fontId="5" fillId="0" borderId="0" xfId="0" applyFont="1" applyFill="1" applyAlignment="1"/>
    <xf numFmtId="0" fontId="19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Continuous"/>
    </xf>
    <xf numFmtId="0" fontId="33" fillId="0" borderId="0" xfId="0" applyFont="1" applyFill="1" applyBorder="1" applyAlignment="1">
      <alignment horizontal="right" vertical="center" wrapText="1"/>
    </xf>
    <xf numFmtId="167" fontId="32" fillId="0" borderId="0" xfId="1" applyNumberFormat="1" applyFont="1" applyFill="1" applyBorder="1"/>
    <xf numFmtId="3" fontId="33" fillId="0" borderId="0" xfId="0" applyNumberFormat="1" applyFont="1" applyFill="1"/>
    <xf numFmtId="0" fontId="34" fillId="0" borderId="0" xfId="0" applyFont="1" applyFill="1"/>
    <xf numFmtId="0" fontId="34" fillId="0" borderId="0" xfId="0" applyFont="1" applyFill="1" applyBorder="1"/>
    <xf numFmtId="167" fontId="2" fillId="0" borderId="0" xfId="1" applyNumberFormat="1" applyFont="1" applyFill="1"/>
    <xf numFmtId="0" fontId="1" fillId="0" borderId="2" xfId="0" applyFont="1" applyFill="1" applyBorder="1" applyAlignment="1">
      <alignment horizontal="right"/>
    </xf>
    <xf numFmtId="165" fontId="0" fillId="0" borderId="0" xfId="0" applyNumberFormat="1" applyFill="1"/>
    <xf numFmtId="167" fontId="1" fillId="0" borderId="0" xfId="1" applyNumberFormat="1" applyFont="1" applyFill="1"/>
    <xf numFmtId="167" fontId="26" fillId="0" borderId="1" xfId="1" applyNumberFormat="1" applyFont="1" applyFill="1" applyBorder="1"/>
    <xf numFmtId="0" fontId="2" fillId="0" borderId="1" xfId="0" applyFont="1" applyFill="1" applyBorder="1"/>
    <xf numFmtId="167" fontId="0" fillId="0" borderId="0" xfId="0" applyNumberFormat="1" applyFill="1" applyBorder="1"/>
    <xf numFmtId="167" fontId="0" fillId="0" borderId="1" xfId="0" applyNumberFormat="1" applyFill="1" applyBorder="1"/>
    <xf numFmtId="0" fontId="9" fillId="0" borderId="2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172" fontId="0" fillId="0" borderId="0" xfId="0" applyNumberFormat="1" applyFill="1" applyBorder="1"/>
    <xf numFmtId="171" fontId="0" fillId="0" borderId="0" xfId="0" applyNumberFormat="1" applyFill="1" applyBorder="1"/>
    <xf numFmtId="167" fontId="2" fillId="0" borderId="0" xfId="1" applyNumberFormat="1" applyFont="1" applyFill="1" applyBorder="1"/>
    <xf numFmtId="167" fontId="2" fillId="0" borderId="1" xfId="1" applyNumberFormat="1" applyFont="1" applyFill="1" applyBorder="1"/>
    <xf numFmtId="172" fontId="0" fillId="0" borderId="1" xfId="0" applyNumberForma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/>
    </xf>
    <xf numFmtId="167" fontId="2" fillId="0" borderId="0" xfId="1" applyNumberFormat="1" applyFont="1" applyFill="1" applyBorder="1" applyAlignment="1">
      <alignment horizontal="right"/>
    </xf>
    <xf numFmtId="167" fontId="2" fillId="0" borderId="0" xfId="1" applyNumberFormat="1" applyFont="1" applyFill="1" applyBorder="1" applyAlignment="1"/>
    <xf numFmtId="0" fontId="0" fillId="0" borderId="1" xfId="0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right"/>
    </xf>
    <xf numFmtId="172" fontId="0" fillId="0" borderId="0" xfId="0" applyNumberFormat="1" applyFill="1"/>
    <xf numFmtId="167" fontId="2" fillId="0" borderId="0" xfId="1" applyNumberFormat="1" applyFont="1" applyFill="1" applyAlignment="1">
      <alignment horizontal="right"/>
    </xf>
    <xf numFmtId="0" fontId="8" fillId="0" borderId="0" xfId="0" applyFont="1" applyFill="1" applyBorder="1" applyAlignment="1">
      <alignment horizontal="center"/>
    </xf>
    <xf numFmtId="167" fontId="8" fillId="0" borderId="0" xfId="1" applyNumberFormat="1" applyFont="1" applyFill="1" applyBorder="1"/>
    <xf numFmtId="0" fontId="31" fillId="0" borderId="3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justify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justify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32" fillId="0" borderId="1" xfId="0" applyFont="1" applyFill="1" applyBorder="1"/>
    <xf numFmtId="3" fontId="2" fillId="0" borderId="0" xfId="0" applyNumberFormat="1" applyFont="1" applyFill="1" applyAlignment="1">
      <alignment horizontal="center"/>
    </xf>
    <xf numFmtId="3" fontId="3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vertical="top" wrapText="1"/>
    </xf>
    <xf numFmtId="3" fontId="2" fillId="0" borderId="0" xfId="0" applyNumberFormat="1" applyFont="1" applyFill="1" applyBorder="1"/>
    <xf numFmtId="0" fontId="2" fillId="0" borderId="0" xfId="0" applyFont="1" applyFill="1" applyBorder="1" applyAlignment="1"/>
    <xf numFmtId="0" fontId="23" fillId="0" borderId="0" xfId="0" applyFont="1" applyFill="1" applyBorder="1"/>
    <xf numFmtId="167" fontId="2" fillId="0" borderId="0" xfId="0" applyNumberFormat="1" applyFont="1" applyFill="1"/>
    <xf numFmtId="3" fontId="32" fillId="0" borderId="0" xfId="0" applyNumberFormat="1" applyFont="1" applyFill="1"/>
    <xf numFmtId="0" fontId="5" fillId="0" borderId="0" xfId="0" applyFont="1" applyFill="1" applyAlignment="1">
      <alignment horizontal="right"/>
    </xf>
    <xf numFmtId="0" fontId="10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7" fillId="0" borderId="0" xfId="0" applyFont="1" applyFill="1" applyAlignment="1">
      <alignment horizontal="right"/>
    </xf>
    <xf numFmtId="0" fontId="32" fillId="0" borderId="0" xfId="0" applyFont="1" applyFill="1" applyBorder="1"/>
    <xf numFmtId="0" fontId="1" fillId="0" borderId="0" xfId="0" applyFont="1" applyFill="1" applyAlignment="1"/>
    <xf numFmtId="0" fontId="32" fillId="0" borderId="0" xfId="0" quotePrefix="1" applyFont="1" applyFill="1"/>
    <xf numFmtId="0" fontId="32" fillId="0" borderId="0" xfId="0" applyFont="1" applyFill="1" applyAlignment="1">
      <alignment horizontal="center"/>
    </xf>
    <xf numFmtId="167" fontId="32" fillId="0" borderId="0" xfId="1" applyNumberFormat="1" applyFont="1" applyFill="1" applyAlignment="1">
      <alignment horizontal="center"/>
    </xf>
    <xf numFmtId="172" fontId="32" fillId="0" borderId="0" xfId="0" applyNumberFormat="1" applyFont="1" applyFill="1"/>
    <xf numFmtId="0" fontId="2" fillId="0" borderId="0" xfId="0" applyFont="1" applyFill="1" applyAlignment="1">
      <alignment horizontal="centerContinuous"/>
    </xf>
    <xf numFmtId="3" fontId="2" fillId="0" borderId="0" xfId="0" applyNumberFormat="1" applyFont="1" applyFill="1"/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2" xfId="0" applyFont="1" applyFill="1" applyBorder="1" applyAlignment="1">
      <alignment horizontal="center"/>
    </xf>
    <xf numFmtId="0" fontId="7" fillId="0" borderId="2" xfId="0" applyFont="1" applyFill="1" applyBorder="1"/>
    <xf numFmtId="166" fontId="9" fillId="0" borderId="0" xfId="0" applyNumberFormat="1" applyFont="1" applyFill="1"/>
    <xf numFmtId="166" fontId="0" fillId="0" borderId="0" xfId="0" applyNumberFormat="1" applyFill="1"/>
    <xf numFmtId="0" fontId="2" fillId="0" borderId="0" xfId="0" applyFont="1" applyFill="1" applyAlignment="1">
      <alignment horizontal="left" indent="1"/>
    </xf>
    <xf numFmtId="166" fontId="7" fillId="0" borderId="0" xfId="0" applyNumberFormat="1" applyFont="1" applyFill="1"/>
    <xf numFmtId="6" fontId="7" fillId="0" borderId="0" xfId="0" applyNumberFormat="1" applyFont="1" applyFill="1" applyAlignment="1">
      <alignment horizontal="left" indent="1"/>
    </xf>
    <xf numFmtId="166" fontId="7" fillId="0" borderId="0" xfId="1" applyNumberFormat="1" applyFont="1" applyFill="1"/>
    <xf numFmtId="6" fontId="2" fillId="0" borderId="0" xfId="0" applyNumberFormat="1" applyFont="1" applyFill="1" applyAlignment="1">
      <alignment horizontal="left" indent="1"/>
    </xf>
    <xf numFmtId="166" fontId="26" fillId="0" borderId="0" xfId="1" applyNumberFormat="1" applyFont="1" applyFill="1"/>
    <xf numFmtId="166" fontId="2" fillId="0" borderId="0" xfId="1" applyNumberFormat="1" applyFont="1" applyFill="1"/>
    <xf numFmtId="6" fontId="0" fillId="0" borderId="0" xfId="0" applyNumberFormat="1" applyFill="1" applyAlignment="1">
      <alignment horizontal="left" indent="1"/>
    </xf>
    <xf numFmtId="0" fontId="7" fillId="0" borderId="0" xfId="0" applyFont="1" applyFill="1" applyAlignment="1"/>
    <xf numFmtId="168" fontId="7" fillId="0" borderId="0" xfId="0" applyNumberFormat="1" applyFont="1" applyFill="1" applyAlignment="1"/>
    <xf numFmtId="168" fontId="2" fillId="0" borderId="0" xfId="0" applyNumberFormat="1" applyFont="1" applyFill="1" applyAlignment="1">
      <alignment horizontal="left" indent="1"/>
    </xf>
    <xf numFmtId="0" fontId="0" fillId="0" borderId="1" xfId="0" applyFill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28" fillId="0" borderId="1" xfId="0" applyFont="1" applyFill="1" applyBorder="1" applyAlignment="1">
      <alignment horizontal="right"/>
    </xf>
    <xf numFmtId="0" fontId="0" fillId="0" borderId="2" xfId="0" applyFill="1" applyBorder="1"/>
    <xf numFmtId="0" fontId="9" fillId="0" borderId="0" xfId="0" applyFont="1" applyFill="1" applyAlignment="1">
      <alignment horizontal="left" indent="1"/>
    </xf>
    <xf numFmtId="2" fontId="9" fillId="0" borderId="0" xfId="0" applyNumberFormat="1" applyFont="1" applyFill="1"/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horizontal="left" indent="1"/>
    </xf>
    <xf numFmtId="2" fontId="0" fillId="0" borderId="0" xfId="0" applyNumberFormat="1" applyFill="1"/>
    <xf numFmtId="0" fontId="9" fillId="0" borderId="0" xfId="0" applyFont="1" applyFill="1" applyBorder="1" applyAlignment="1">
      <alignment horizontal="left"/>
    </xf>
    <xf numFmtId="0" fontId="3" fillId="0" borderId="0" xfId="0" applyFont="1" applyFill="1" applyBorder="1"/>
    <xf numFmtId="2" fontId="29" fillId="0" borderId="0" xfId="0" applyNumberFormat="1" applyFont="1" applyFill="1"/>
    <xf numFmtId="0" fontId="0" fillId="0" borderId="14" xfId="0" applyFill="1" applyBorder="1"/>
    <xf numFmtId="0" fontId="1" fillId="0" borderId="3" xfId="0" applyFont="1" applyFill="1" applyBorder="1" applyAlignment="1">
      <alignment horizontal="center" wrapText="1"/>
    </xf>
    <xf numFmtId="0" fontId="0" fillId="0" borderId="6" xfId="0" applyFill="1" applyBorder="1"/>
    <xf numFmtId="167" fontId="0" fillId="0" borderId="8" xfId="1" applyNumberFormat="1" applyFont="1" applyFill="1" applyBorder="1"/>
    <xf numFmtId="167" fontId="0" fillId="0" borderId="0" xfId="1" applyNumberFormat="1" applyFont="1" applyFill="1"/>
    <xf numFmtId="167" fontId="0" fillId="0" borderId="15" xfId="1" applyNumberFormat="1" applyFont="1" applyFill="1" applyBorder="1"/>
    <xf numFmtId="167" fontId="0" fillId="0" borderId="9" xfId="1" applyNumberFormat="1" applyFont="1" applyFill="1" applyBorder="1"/>
    <xf numFmtId="167" fontId="0" fillId="0" borderId="1" xfId="1" applyNumberFormat="1" applyFont="1" applyFill="1" applyBorder="1"/>
    <xf numFmtId="0" fontId="2" fillId="0" borderId="10" xfId="0" applyFont="1" applyFill="1" applyBorder="1"/>
    <xf numFmtId="167" fontId="0" fillId="0" borderId="10" xfId="1" applyNumberFormat="1" applyFont="1" applyFill="1" applyBorder="1"/>
    <xf numFmtId="167" fontId="0" fillId="0" borderId="0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167" fontId="0" fillId="0" borderId="10" xfId="0" applyNumberFormat="1" applyFill="1" applyBorder="1"/>
    <xf numFmtId="0" fontId="1" fillId="0" borderId="4" xfId="0" applyFont="1" applyFill="1" applyBorder="1" applyAlignment="1">
      <alignment horizontal="center" wrapText="1"/>
    </xf>
    <xf numFmtId="0" fontId="2" fillId="0" borderId="3" xfId="0" applyFont="1" applyFill="1" applyBorder="1"/>
    <xf numFmtId="0" fontId="10" fillId="0" borderId="1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right"/>
    </xf>
    <xf numFmtId="166" fontId="7" fillId="0" borderId="0" xfId="1" applyNumberFormat="1" applyFont="1" applyFill="1" applyBorder="1"/>
    <xf numFmtId="0" fontId="7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left" indent="2"/>
    </xf>
    <xf numFmtId="0" fontId="10" fillId="0" borderId="0" xfId="0" applyFont="1" applyFill="1" applyAlignment="1">
      <alignment horizontal="left" indent="3"/>
    </xf>
    <xf numFmtId="166" fontId="2" fillId="0" borderId="0" xfId="1" applyNumberFormat="1" applyFont="1" applyFill="1" applyAlignment="1"/>
    <xf numFmtId="166" fontId="7" fillId="0" borderId="0" xfId="1" applyNumberFormat="1" applyFont="1" applyFill="1" applyAlignment="1"/>
    <xf numFmtId="166" fontId="7" fillId="0" borderId="0" xfId="1" applyNumberFormat="1" applyFont="1" applyFill="1" applyBorder="1" applyAlignment="1"/>
    <xf numFmtId="0" fontId="10" fillId="0" borderId="0" xfId="0" applyFont="1" applyFill="1" applyAlignment="1">
      <alignment horizontal="left" indent="2"/>
    </xf>
    <xf numFmtId="0" fontId="7" fillId="0" borderId="1" xfId="0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 indent="1"/>
    </xf>
    <xf numFmtId="167" fontId="9" fillId="0" borderId="0" xfId="1" applyNumberFormat="1" applyFont="1" applyFill="1"/>
    <xf numFmtId="0" fontId="3" fillId="0" borderId="0" xfId="0" applyFont="1" applyFill="1"/>
    <xf numFmtId="0" fontId="2" fillId="0" borderId="0" xfId="0" quotePrefix="1" applyFont="1" applyFill="1"/>
    <xf numFmtId="0" fontId="18" fillId="0" borderId="0" xfId="0" applyFont="1" applyFill="1"/>
    <xf numFmtId="166" fontId="2" fillId="0" borderId="0" xfId="1" applyNumberFormat="1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0" xfId="0" applyFill="1" applyBorder="1"/>
    <xf numFmtId="167" fontId="30" fillId="0" borderId="0" xfId="1" applyNumberFormat="1" applyFont="1" applyFill="1"/>
    <xf numFmtId="167" fontId="30" fillId="0" borderId="0" xfId="1" applyNumberFormat="1" applyFont="1" applyFill="1" applyBorder="1"/>
    <xf numFmtId="167" fontId="2" fillId="0" borderId="0" xfId="1" applyNumberFormat="1" applyFont="1" applyFill="1" applyAlignment="1"/>
    <xf numFmtId="167" fontId="2" fillId="0" borderId="10" xfId="1" applyNumberFormat="1" applyFont="1" applyFill="1" applyBorder="1"/>
    <xf numFmtId="167" fontId="3" fillId="0" borderId="0" xfId="1" applyNumberFormat="1" applyFont="1" applyFill="1" applyAlignment="1">
      <alignment horizontal="right"/>
    </xf>
    <xf numFmtId="167" fontId="2" fillId="0" borderId="0" xfId="1" applyNumberFormat="1" applyFont="1" applyFill="1" applyAlignment="1">
      <alignment horizontal="center"/>
    </xf>
    <xf numFmtId="0" fontId="6" fillId="0" borderId="0" xfId="0" applyFont="1" applyFill="1"/>
    <xf numFmtId="172" fontId="2" fillId="0" borderId="0" xfId="1" applyNumberFormat="1" applyFont="1" applyFill="1" applyBorder="1"/>
    <xf numFmtId="172" fontId="2" fillId="0" borderId="1" xfId="1" applyNumberFormat="1" applyFont="1" applyFill="1" applyBorder="1"/>
    <xf numFmtId="0" fontId="1" fillId="0" borderId="2" xfId="0" applyFont="1" applyFill="1" applyBorder="1"/>
    <xf numFmtId="0" fontId="1" fillId="0" borderId="0" xfId="0" applyFont="1" applyFill="1" applyBorder="1"/>
    <xf numFmtId="0" fontId="1" fillId="0" borderId="0" xfId="0" applyFont="1" applyFill="1" applyAlignment="1">
      <alignment horizontal="centerContinuous"/>
    </xf>
    <xf numFmtId="0" fontId="1" fillId="0" borderId="2" xfId="0" applyFont="1" applyFill="1" applyBorder="1" applyAlignment="1">
      <alignment horizontal="left"/>
    </xf>
    <xf numFmtId="3" fontId="1" fillId="0" borderId="0" xfId="0" applyNumberFormat="1" applyFont="1" applyFill="1" applyBorder="1"/>
    <xf numFmtId="3" fontId="2" fillId="0" borderId="1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74" fontId="1" fillId="0" borderId="0" xfId="0" applyNumberFormat="1" applyFont="1" applyFill="1" applyBorder="1"/>
    <xf numFmtId="174" fontId="2" fillId="0" borderId="0" xfId="0" applyNumberFormat="1" applyFont="1" applyFill="1" applyBorder="1"/>
    <xf numFmtId="174" fontId="2" fillId="0" borderId="1" xfId="0" applyNumberFormat="1" applyFont="1" applyFill="1" applyBorder="1"/>
    <xf numFmtId="0" fontId="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7" fillId="3" borderId="1" xfId="0" applyFont="1" applyFill="1" applyBorder="1" applyAlignment="1">
      <alignment horizontal="right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31" fillId="0" borderId="5" xfId="0" applyFont="1" applyFill="1" applyBorder="1" applyAlignment="1">
      <alignment vertical="center" wrapText="1"/>
    </xf>
    <xf numFmtId="0" fontId="31" fillId="0" borderId="6" xfId="0" applyFont="1" applyFill="1" applyBorder="1" applyAlignment="1">
      <alignment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Chart 12.03: Local Bank Deposits in CI Currency,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2010 - 2015</a:t>
            </a:r>
          </a:p>
        </c:rich>
      </c:tx>
      <c:layout>
        <c:manualLayout>
          <c:xMode val="edge"/>
          <c:yMode val="edge"/>
          <c:x val="0.18991623654698664"/>
          <c:y val="3.470026246719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10938575809626"/>
          <c:y val="0.201582232990107"/>
          <c:w val="0.80336200380941747"/>
          <c:h val="0.58706141732283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'.04 delete'!$AA$31</c:f>
              <c:strCache>
                <c:ptCount val="1"/>
                <c:pt idx="0">
                  <c:v>All Deposits</c:v>
                </c:pt>
              </c:strCache>
            </c:strRef>
          </c:tx>
          <c:spPr>
            <a:solidFill>
              <a:srgbClr val="33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174605951445489E-3"/>
                  <c:y val="1.48471977280439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F4-4997-B50F-74C79A75ED6B}"/>
                </c:ext>
              </c:extLst>
            </c:dLbl>
            <c:dLbl>
              <c:idx val="2"/>
              <c:layout>
                <c:manualLayout>
                  <c:x val="-3.6049710653638174E-3"/>
                  <c:y val="-4.438522107813446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F4-4997-B50F-74C79A75ED6B}"/>
                </c:ext>
              </c:extLst>
            </c:dLbl>
            <c:dLbl>
              <c:idx val="3"/>
              <c:layout>
                <c:manualLayout>
                  <c:x val="-1.4004996363406381E-3"/>
                  <c:y val="8.6745003028467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F4-4997-B50F-74C79A75ED6B}"/>
                </c:ext>
              </c:extLst>
            </c:dLbl>
            <c:dLbl>
              <c:idx val="4"/>
              <c:layout>
                <c:manualLayout>
                  <c:x val="-2.1402144009107296E-3"/>
                  <c:y val="1.75573591762568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F4-4997-B50F-74C79A75ED6B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4621909977276435"/>
                  <c:y val="0.4132492113564668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F4-4997-B50F-74C79A75ED6B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4369817136470204"/>
                  <c:y val="0.384858044164037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F4-4997-B50F-74C79A75ED6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'.04 delete'!$Z$44:$Z$52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'.04 delete'!$AA$44:$AA$52</c:f>
              <c:numCache>
                <c:formatCode>_(* #,##0_);_(* \(#,##0\);_(* "-"??_);_(@_)</c:formatCode>
                <c:ptCount val="6"/>
                <c:pt idx="0">
                  <c:v>937992</c:v>
                </c:pt>
                <c:pt idx="1">
                  <c:v>882440</c:v>
                </c:pt>
                <c:pt idx="2">
                  <c:v>1059336</c:v>
                </c:pt>
                <c:pt idx="3">
                  <c:v>1010464</c:v>
                </c:pt>
                <c:pt idx="4">
                  <c:v>1113548</c:v>
                </c:pt>
                <c:pt idx="5">
                  <c:v>1596444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F4-4997-B50F-74C79A75E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031824"/>
        <c:axId val="489026728"/>
      </c:barChart>
      <c:catAx>
        <c:axId val="48903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9026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90267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CI$ (000)</a:t>
                </a:r>
              </a:p>
            </c:rich>
          </c:tx>
          <c:layout>
            <c:manualLayout>
              <c:xMode val="edge"/>
              <c:yMode val="edge"/>
              <c:x val="2.6890705647440002E-2"/>
              <c:y val="0.3943216636381990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9031824"/>
        <c:crosses val="autoZero"/>
        <c:crossBetween val="between"/>
      </c:valAx>
      <c:spPr>
        <a:gradFill rotWithShape="0">
          <a:gsLst>
            <a:gs pos="0">
              <a:srgbClr val="00FFFF"/>
            </a:gs>
            <a:gs pos="100000">
              <a:srgbClr val="FFFF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Chart 12.04: External Assets and Liabilities, 2012 - 2022</a:t>
            </a:r>
          </a:p>
        </c:rich>
      </c:tx>
      <c:layout>
        <c:manualLayout>
          <c:xMode val="edge"/>
          <c:yMode val="edge"/>
          <c:x val="0.17641178428580004"/>
          <c:y val="5.80692015268002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695384355005964"/>
          <c:y val="0.23069244692476365"/>
          <c:w val="0.75631760167193252"/>
          <c:h val="0.5636942675159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'.06'!$P$37</c:f>
              <c:strCache>
                <c:ptCount val="1"/>
                <c:pt idx="0">
                  <c:v>Assets</c:v>
                </c:pt>
              </c:strCache>
            </c:strRef>
          </c:tx>
          <c:invertIfNegative val="0"/>
          <c:cat>
            <c:numRef>
              <c:f>'.06'!$C$110:$C$120</c:f>
              <c:numCache>
                <c:formatCode>General</c:formatCode>
                <c:ptCount val="11"/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'.06'!$D$110:$D$120</c:f>
              <c:numCache>
                <c:formatCode>_(* #,##0_);_(* \(#,##0\);_(* "-"??_);_(@_)</c:formatCode>
                <c:ptCount val="11"/>
                <c:pt idx="2">
                  <c:v>1409321</c:v>
                </c:pt>
                <c:pt idx="3">
                  <c:v>1377200</c:v>
                </c:pt>
                <c:pt idx="4">
                  <c:v>1423029</c:v>
                </c:pt>
                <c:pt idx="5">
                  <c:v>1377000</c:v>
                </c:pt>
                <c:pt idx="6">
                  <c:v>1015623</c:v>
                </c:pt>
                <c:pt idx="7">
                  <c:v>914692</c:v>
                </c:pt>
                <c:pt idx="8">
                  <c:v>652463</c:v>
                </c:pt>
                <c:pt idx="9">
                  <c:v>639524</c:v>
                </c:pt>
                <c:pt idx="10">
                  <c:v>578970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BB-46BA-9BC5-8EBEAAA04CB8}"/>
            </c:ext>
          </c:extLst>
        </c:ser>
        <c:ser>
          <c:idx val="1"/>
          <c:order val="1"/>
          <c:tx>
            <c:strRef>
              <c:f>'.06'!$Q$37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numRef>
              <c:f>'.06'!$C$110:$C$120</c:f>
              <c:numCache>
                <c:formatCode>General</c:formatCode>
                <c:ptCount val="11"/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'.06'!$F$110:$F$120</c:f>
              <c:numCache>
                <c:formatCode>_(* #,##0_);_(* \(#,##0\);_(* "-"??_);_(@_)</c:formatCode>
                <c:ptCount val="11"/>
                <c:pt idx="2">
                  <c:v>1434218</c:v>
                </c:pt>
                <c:pt idx="3">
                  <c:v>1366800</c:v>
                </c:pt>
                <c:pt idx="4">
                  <c:v>1443356</c:v>
                </c:pt>
                <c:pt idx="5">
                  <c:v>1380000</c:v>
                </c:pt>
                <c:pt idx="6">
                  <c:v>985470</c:v>
                </c:pt>
                <c:pt idx="7">
                  <c:v>874427</c:v>
                </c:pt>
                <c:pt idx="8">
                  <c:v>622186</c:v>
                </c:pt>
                <c:pt idx="9">
                  <c:v>609685</c:v>
                </c:pt>
                <c:pt idx="10">
                  <c:v>537752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BB-46BA-9BC5-8EBEAAA04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489030648"/>
        <c:axId val="489029864"/>
      </c:barChart>
      <c:catAx>
        <c:axId val="489030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9029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9029864"/>
        <c:scaling>
          <c:orientation val="minMax"/>
          <c:max val="2000000"/>
          <c:min val="400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US$ Million</a:t>
                </a:r>
              </a:p>
            </c:rich>
          </c:tx>
          <c:layout>
            <c:manualLayout>
              <c:xMode val="edge"/>
              <c:yMode val="edge"/>
              <c:x val="1.0009767490082452E-3"/>
              <c:y val="0.36105637237823152"/>
            </c:manualLayout>
          </c:layout>
          <c:overlay val="0"/>
        </c:title>
        <c:numFmt formatCode="_(* #,##0_);_(* \(#,##0\);_(* &quot;-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9030648"/>
        <c:crosses val="autoZero"/>
        <c:crossBetween val="between"/>
        <c:majorUnit val="150000"/>
        <c:minorUnit val="20000"/>
      </c:valAx>
    </c:plotArea>
    <c:legend>
      <c:legendPos val="r"/>
      <c:layout>
        <c:manualLayout>
          <c:xMode val="edge"/>
          <c:yMode val="edge"/>
          <c:x val="0.39320450483620428"/>
          <c:y val="0.87671428348468594"/>
          <c:w val="0.32847948346398959"/>
          <c:h val="6.6210193283999727E-2"/>
        </c:manualLayout>
      </c:layout>
      <c:overlay val="0"/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Chart 12.04: External Assets and Liabilities, 2012 - 2023</a:t>
            </a:r>
          </a:p>
        </c:rich>
      </c:tx>
      <c:layout>
        <c:manualLayout>
          <c:xMode val="edge"/>
          <c:yMode val="edge"/>
          <c:x val="0.15054963131270507"/>
          <c:y val="4.61359837307874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695384355005964"/>
          <c:y val="0.23069244692476365"/>
          <c:w val="0.75631760167193252"/>
          <c:h val="0.5636942675159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'[2].06'!$P$37</c:f>
              <c:strCache>
                <c:ptCount val="1"/>
                <c:pt idx="0">
                  <c:v>Assets</c:v>
                </c:pt>
              </c:strCache>
            </c:strRef>
          </c:tx>
          <c:invertIfNegative val="0"/>
          <c:cat>
            <c:numRef>
              <c:f>'[2].06'!$C$112:$C$123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'[2].06'!$D$112:$D$123</c:f>
              <c:numCache>
                <c:formatCode>General</c:formatCode>
                <c:ptCount val="12"/>
                <c:pt idx="0">
                  <c:v>1409321</c:v>
                </c:pt>
                <c:pt idx="1">
                  <c:v>1377200</c:v>
                </c:pt>
                <c:pt idx="2">
                  <c:v>1423029</c:v>
                </c:pt>
                <c:pt idx="3">
                  <c:v>1377000</c:v>
                </c:pt>
                <c:pt idx="4">
                  <c:v>1015623</c:v>
                </c:pt>
                <c:pt idx="5">
                  <c:v>914692</c:v>
                </c:pt>
                <c:pt idx="6">
                  <c:v>652463</c:v>
                </c:pt>
                <c:pt idx="7">
                  <c:v>639524</c:v>
                </c:pt>
                <c:pt idx="8">
                  <c:v>578970</c:v>
                </c:pt>
                <c:pt idx="9">
                  <c:v>502979</c:v>
                </c:pt>
                <c:pt idx="10">
                  <c:v>472544</c:v>
                </c:pt>
                <c:pt idx="11">
                  <c:v>368896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F-402F-8B95-A29659221E9C}"/>
            </c:ext>
          </c:extLst>
        </c:ser>
        <c:ser>
          <c:idx val="1"/>
          <c:order val="1"/>
          <c:tx>
            <c:strRef>
              <c:f>'[2].06'!$Q$37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numRef>
              <c:f>'[2].06'!$C$112:$C$123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'[2].06'!$F$112:$F$123</c:f>
              <c:numCache>
                <c:formatCode>General</c:formatCode>
                <c:ptCount val="12"/>
                <c:pt idx="0">
                  <c:v>1434218</c:v>
                </c:pt>
                <c:pt idx="1">
                  <c:v>1366800</c:v>
                </c:pt>
                <c:pt idx="2">
                  <c:v>1443356</c:v>
                </c:pt>
                <c:pt idx="3">
                  <c:v>1380000</c:v>
                </c:pt>
                <c:pt idx="4">
                  <c:v>985470</c:v>
                </c:pt>
                <c:pt idx="5">
                  <c:v>874427</c:v>
                </c:pt>
                <c:pt idx="6">
                  <c:v>622186</c:v>
                </c:pt>
                <c:pt idx="7">
                  <c:v>609685</c:v>
                </c:pt>
                <c:pt idx="8">
                  <c:v>537752</c:v>
                </c:pt>
                <c:pt idx="9">
                  <c:v>470799</c:v>
                </c:pt>
                <c:pt idx="10">
                  <c:v>424293</c:v>
                </c:pt>
                <c:pt idx="11">
                  <c:v>331702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F-402F-8B95-A29659221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489030648"/>
        <c:axId val="489029864"/>
      </c:barChart>
      <c:catAx>
        <c:axId val="489030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9029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9029864"/>
        <c:scaling>
          <c:orientation val="minMax"/>
          <c:max val="1700000.0000000002"/>
          <c:min val="200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US$ Million</a:t>
                </a:r>
              </a:p>
            </c:rich>
          </c:tx>
          <c:layout>
            <c:manualLayout>
              <c:xMode val="edge"/>
              <c:yMode val="edge"/>
              <c:x val="1.0009767490082452E-3"/>
              <c:y val="0.36105637237823152"/>
            </c:manualLayout>
          </c:layout>
          <c:overlay val="0"/>
        </c:title>
        <c:numFmt formatCode="_(* #,##0_);_(* \(#,##0\);_(* &quot;-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9030648"/>
        <c:crosses val="autoZero"/>
        <c:crossBetween val="between"/>
        <c:majorUnit val="150000"/>
        <c:minorUnit val="20000"/>
      </c:valAx>
    </c:plotArea>
    <c:legend>
      <c:legendPos val="r"/>
      <c:layout>
        <c:manualLayout>
          <c:xMode val="edge"/>
          <c:yMode val="edge"/>
          <c:x val="0.39320450483620428"/>
          <c:y val="0.87671428348468594"/>
          <c:w val="0.32847948346398959"/>
          <c:h val="6.6210193283999727E-2"/>
        </c:manualLayout>
      </c:layout>
      <c:overlay val="0"/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Chart 12.05: Number of Mutual Funds, 2015 - 2022</a:t>
            </a:r>
          </a:p>
        </c:rich>
      </c:tx>
      <c:layout>
        <c:manualLayout>
          <c:xMode val="edge"/>
          <c:yMode val="edge"/>
          <c:x val="0.21166837196197938"/>
          <c:y val="6.4182647025581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92283364958887"/>
          <c:y val="0.23479435340852664"/>
          <c:w val="0.80391470296982104"/>
          <c:h val="0.57887153295027316"/>
        </c:manualLayout>
      </c:layout>
      <c:lineChart>
        <c:grouping val="stacked"/>
        <c:varyColors val="0"/>
        <c:ser>
          <c:idx val="0"/>
          <c:order val="0"/>
          <c:tx>
            <c:strRef>
              <c:f>'.11'!$C$15</c:f>
              <c:strCache>
                <c:ptCount val="1"/>
                <c:pt idx="0">
                  <c:v>Mutual Funds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B0F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496007735875124E-2"/>
                  <c:y val="-9.0043577088749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AD-4821-BF97-CA786F0868FE}"/>
                </c:ext>
              </c:extLst>
            </c:dLbl>
            <c:dLbl>
              <c:idx val="1"/>
              <c:layout>
                <c:manualLayout>
                  <c:x val="-7.4890873091641275E-2"/>
                  <c:y val="-4.67000572039756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AD-4821-BF97-CA786F0868FE}"/>
                </c:ext>
              </c:extLst>
            </c:dLbl>
            <c:dLbl>
              <c:idx val="2"/>
              <c:layout>
                <c:manualLayout>
                  <c:x val="-5.6180155425094795E-2"/>
                  <c:y val="-5.9211173263975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AD-4821-BF97-CA786F0868FE}"/>
                </c:ext>
              </c:extLst>
            </c:dLbl>
            <c:dLbl>
              <c:idx val="3"/>
              <c:layout>
                <c:manualLayout>
                  <c:x val="-5.2624920936116384E-2"/>
                  <c:y val="-5.2391711905577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AD-4821-BF97-CA786F0868FE}"/>
                </c:ext>
              </c:extLst>
            </c:dLbl>
            <c:dLbl>
              <c:idx val="4"/>
              <c:layout>
                <c:manualLayout>
                  <c:x val="-4.6281581978324285E-2"/>
                  <c:y val="-3.9899926909452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AD-4821-BF97-CA786F0868FE}"/>
                </c:ext>
              </c:extLst>
            </c:dLbl>
            <c:dLbl>
              <c:idx val="5"/>
              <c:layout>
                <c:manualLayout>
                  <c:x val="-4.9805719094574416E-2"/>
                  <c:y val="-5.4176242323776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AD-4821-BF97-CA786F0868FE}"/>
                </c:ext>
              </c:extLst>
            </c:dLbl>
            <c:dLbl>
              <c:idx val="6"/>
              <c:layout>
                <c:manualLayout>
                  <c:x val="-4.7418888670453775E-2"/>
                  <c:y val="8.09262956962914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AD-4821-BF97-CA786F0868FE}"/>
                </c:ext>
              </c:extLst>
            </c:dLbl>
            <c:dLbl>
              <c:idx val="7"/>
              <c:layout>
                <c:manualLayout>
                  <c:x val="-6.2662820510934622E-2"/>
                  <c:y val="4.7486371895820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AD-4821-BF97-CA786F0868FE}"/>
                </c:ext>
              </c:extLst>
            </c:dLbl>
            <c:dLbl>
              <c:idx val="8"/>
              <c:layout>
                <c:manualLayout>
                  <c:x val="-3.7851897372925575E-2"/>
                  <c:y val="-4.6920806668419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AD-4821-BF97-CA786F0868F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'.11'!$D$13:$K$13</c15:sqref>
                  </c15:fullRef>
                </c:ext>
              </c:extLst>
              <c:f>'.11'!$E$13:$K$13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'.11'!$D$21:$K$21</c15:sqref>
                  </c15:fullRef>
                </c:ext>
              </c:extLst>
              <c:f>'.11'!$E$21:$K$21</c:f>
              <c:numCache>
                <c:formatCode>_(* #,##0_);_(* \(#,##0\);_(* "-"??_);_(@_)</c:formatCode>
                <c:ptCount val="7"/>
                <c:pt idx="0">
                  <c:v>10586</c:v>
                </c:pt>
                <c:pt idx="1">
                  <c:v>10559</c:v>
                </c:pt>
                <c:pt idx="2">
                  <c:v>10992</c:v>
                </c:pt>
                <c:pt idx="3">
                  <c:v>10857</c:v>
                </c:pt>
                <c:pt idx="4">
                  <c:v>11896</c:v>
                </c:pt>
                <c:pt idx="5">
                  <c:v>12719</c:v>
                </c:pt>
                <c:pt idx="6">
                  <c:v>12995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FAD-4821-BF97-CA786F086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027120"/>
        <c:axId val="489026336"/>
      </c:lineChart>
      <c:catAx>
        <c:axId val="489027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9026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9026336"/>
        <c:scaling>
          <c:orientation val="minMax"/>
          <c:min val="9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</a:t>
                </a:r>
              </a:p>
            </c:rich>
          </c:tx>
          <c:layout>
            <c:manualLayout>
              <c:xMode val="edge"/>
              <c:yMode val="edge"/>
              <c:x val="2.4667911061526028E-2"/>
              <c:y val="0.47515593159550706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9027120"/>
        <c:crosses val="autoZero"/>
        <c:crossBetween val="between"/>
      </c:valAx>
      <c:spPr>
        <a:solidFill>
          <a:schemeClr val="accent3">
            <a:lumMod val="40000"/>
            <a:lumOff val="60000"/>
          </a:schemeClr>
        </a:solidFill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A0E0E0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Chart 12.05: Number of Mutual Funds, 2015 - 2023</a:t>
            </a:r>
          </a:p>
        </c:rich>
      </c:tx>
      <c:layout>
        <c:manualLayout>
          <c:xMode val="edge"/>
          <c:yMode val="edge"/>
          <c:x val="0.21166837196197938"/>
          <c:y val="6.4182647025581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92283364958887"/>
          <c:y val="0.23479435340852664"/>
          <c:w val="0.80391470296982104"/>
          <c:h val="0.57887153295027316"/>
        </c:manualLayout>
      </c:layout>
      <c:lineChart>
        <c:grouping val="stacked"/>
        <c:varyColors val="0"/>
        <c:ser>
          <c:idx val="0"/>
          <c:order val="0"/>
          <c:tx>
            <c:strRef>
              <c:f>'[2].11'!$C$15</c:f>
              <c:strCache>
                <c:ptCount val="1"/>
                <c:pt idx="0">
                  <c:v>Mutual Funds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B0F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496007735875124E-2"/>
                  <c:y val="-9.0043577088749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9C-441D-90BA-6E5535D60EF5}"/>
                </c:ext>
              </c:extLst>
            </c:dLbl>
            <c:dLbl>
              <c:idx val="1"/>
              <c:layout>
                <c:manualLayout>
                  <c:x val="-7.4890873091641275E-2"/>
                  <c:y val="-4.67000572039756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9C-441D-90BA-6E5535D60EF5}"/>
                </c:ext>
              </c:extLst>
            </c:dLbl>
            <c:dLbl>
              <c:idx val="2"/>
              <c:layout>
                <c:manualLayout>
                  <c:x val="-5.6180155425094795E-2"/>
                  <c:y val="-5.9211173263975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9C-441D-90BA-6E5535D60EF5}"/>
                </c:ext>
              </c:extLst>
            </c:dLbl>
            <c:dLbl>
              <c:idx val="3"/>
              <c:layout>
                <c:manualLayout>
                  <c:x val="-5.0870562232352534E-2"/>
                  <c:y val="-7.7909806728704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9C-441D-90BA-6E5535D60EF5}"/>
                </c:ext>
              </c:extLst>
            </c:dLbl>
            <c:dLbl>
              <c:idx val="4"/>
              <c:layout>
                <c:manualLayout>
                  <c:x val="-6.5579776212184068E-2"/>
                  <c:y val="-6.5418377726707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9C-441D-90BA-6E5535D60EF5}"/>
                </c:ext>
              </c:extLst>
            </c:dLbl>
            <c:dLbl>
              <c:idx val="5"/>
              <c:layout>
                <c:manualLayout>
                  <c:x val="-4.9805719094574416E-2"/>
                  <c:y val="-5.4176242323776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9C-441D-90BA-6E5535D60EF5}"/>
                </c:ext>
              </c:extLst>
            </c:dLbl>
            <c:dLbl>
              <c:idx val="6"/>
              <c:layout>
                <c:manualLayout>
                  <c:x val="-4.7418888670453775E-2"/>
                  <c:y val="8.09262956962914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9C-441D-90BA-6E5535D60EF5}"/>
                </c:ext>
              </c:extLst>
            </c:dLbl>
            <c:dLbl>
              <c:idx val="7"/>
              <c:layout>
                <c:manualLayout>
                  <c:x val="-5.3890868904544954E-2"/>
                  <c:y val="7.3004558640696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9C-441D-90BA-6E5535D60EF5}"/>
                </c:ext>
              </c:extLst>
            </c:dLbl>
            <c:dLbl>
              <c:idx val="8"/>
              <c:layout>
                <c:manualLayout>
                  <c:x val="-3.7851897372925575E-2"/>
                  <c:y val="-4.6920806668419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19C-441D-90BA-6E5535D60EF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'[2].11'!$D$13:$L$13</c15:sqref>
                  </c15:fullRef>
                </c:ext>
              </c:extLst>
              <c:f>'[2].11'!$E$13:$L$13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'[2].11'!$D$21:$L$21</c15:sqref>
                  </c15:fullRef>
                </c:ext>
              </c:extLst>
              <c:f>'[2].11'!$E$21:$L$21</c:f>
              <c:numCache>
                <c:formatCode>General</c:formatCode>
                <c:ptCount val="8"/>
                <c:pt idx="0">
                  <c:v>10586</c:v>
                </c:pt>
                <c:pt idx="1">
                  <c:v>10559</c:v>
                </c:pt>
                <c:pt idx="2">
                  <c:v>10992</c:v>
                </c:pt>
                <c:pt idx="3">
                  <c:v>10857</c:v>
                </c:pt>
                <c:pt idx="4">
                  <c:v>11896</c:v>
                </c:pt>
                <c:pt idx="5">
                  <c:v>12719</c:v>
                </c:pt>
                <c:pt idx="6">
                  <c:v>12995</c:v>
                </c:pt>
                <c:pt idx="7">
                  <c:v>12802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19C-441D-90BA-6E5535D60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027120"/>
        <c:axId val="489026336"/>
      </c:lineChart>
      <c:catAx>
        <c:axId val="489027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9026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9026336"/>
        <c:scaling>
          <c:orientation val="minMax"/>
          <c:min val="9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</a:t>
                </a:r>
              </a:p>
            </c:rich>
          </c:tx>
          <c:layout>
            <c:manualLayout>
              <c:xMode val="edge"/>
              <c:yMode val="edge"/>
              <c:x val="2.4667911061526028E-2"/>
              <c:y val="0.475155931595507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9027120"/>
        <c:crosses val="autoZero"/>
        <c:crossBetween val="between"/>
      </c:valAx>
      <c:spPr>
        <a:solidFill>
          <a:schemeClr val="accent3">
            <a:lumMod val="40000"/>
            <a:lumOff val="60000"/>
          </a:schemeClr>
        </a:solidFill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A0E0E0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Chart 12.06: Stock Exchange Listings 2017 - 2022</a:t>
            </a:r>
          </a:p>
        </c:rich>
      </c:tx>
      <c:layout>
        <c:manualLayout>
          <c:xMode val="edge"/>
          <c:yMode val="edge"/>
          <c:x val="0.27960350656115829"/>
          <c:y val="6.04652212169753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88906386701661"/>
          <c:y val="0.18022576690807632"/>
          <c:w val="0.8700050618037829"/>
          <c:h val="0.679842670096037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7"/>
              <c:layout>
                <c:manualLayout>
                  <c:x val="0"/>
                  <c:y val="1.1461318051575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92-4248-9020-A1A262EA26E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'.12 &amp; .13'!$E$10:$J$10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'.12 &amp; .13'!$E$11:$J$11</c:f>
              <c:numCache>
                <c:formatCode>#,##0</c:formatCode>
                <c:ptCount val="6"/>
                <c:pt idx="0">
                  <c:v>1238</c:v>
                </c:pt>
                <c:pt idx="1">
                  <c:v>1699</c:v>
                </c:pt>
                <c:pt idx="2">
                  <c:v>2078</c:v>
                </c:pt>
                <c:pt idx="3">
                  <c:v>2336</c:v>
                </c:pt>
                <c:pt idx="4">
                  <c:v>2681</c:v>
                </c:pt>
                <c:pt idx="5">
                  <c:v>2734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92-4248-9020-A1A262EA2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276000"/>
        <c:axId val="492272080"/>
      </c:barChart>
      <c:catAx>
        <c:axId val="49227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227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22720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</a:t>
                </a:r>
              </a:p>
            </c:rich>
          </c:tx>
          <c:layout>
            <c:manualLayout>
              <c:xMode val="edge"/>
              <c:yMode val="edge"/>
              <c:x val="5.9573789718801425E-3"/>
              <c:y val="0.455881683731513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2276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Chart 12.06: Stock Exchange Listings 2017 - 2023</a:t>
            </a:r>
          </a:p>
        </c:rich>
      </c:tx>
      <c:layout>
        <c:manualLayout>
          <c:xMode val="edge"/>
          <c:yMode val="edge"/>
          <c:x val="0.27960350656115829"/>
          <c:y val="6.04652212169753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88906386701661"/>
          <c:y val="0.18022576690807632"/>
          <c:w val="0.8700050618037829"/>
          <c:h val="0.679842670096037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7"/>
              <c:layout>
                <c:manualLayout>
                  <c:x val="0"/>
                  <c:y val="1.1461318051575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CA-4557-B146-39FFC74B78D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'[2].12 &amp; .13'!$E$10:$K$10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'[2].12 &amp; .13'!$E$11:$K$11</c:f>
              <c:numCache>
                <c:formatCode>General</c:formatCode>
                <c:ptCount val="7"/>
                <c:pt idx="0">
                  <c:v>1238</c:v>
                </c:pt>
                <c:pt idx="1">
                  <c:v>1699</c:v>
                </c:pt>
                <c:pt idx="2">
                  <c:v>2078</c:v>
                </c:pt>
                <c:pt idx="3">
                  <c:v>2336</c:v>
                </c:pt>
                <c:pt idx="4">
                  <c:v>2681</c:v>
                </c:pt>
                <c:pt idx="5">
                  <c:v>2734</c:v>
                </c:pt>
                <c:pt idx="6">
                  <c:v>2772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CA-4557-B146-39FFC74B7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276000"/>
        <c:axId val="492272080"/>
      </c:barChart>
      <c:catAx>
        <c:axId val="49227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227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22720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</a:t>
                </a:r>
              </a:p>
            </c:rich>
          </c:tx>
          <c:layout>
            <c:manualLayout>
              <c:xMode val="edge"/>
              <c:yMode val="edge"/>
              <c:x val="5.9573789718801425E-3"/>
              <c:y val="0.455881683731513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2276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276225</xdr:colOff>
          <xdr:row>4</xdr:row>
          <xdr:rowOff>57150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67</xdr:row>
      <xdr:rowOff>38100</xdr:rowOff>
    </xdr:from>
    <xdr:to>
      <xdr:col>9</xdr:col>
      <xdr:colOff>647699</xdr:colOff>
      <xdr:row>86</xdr:row>
      <xdr:rowOff>154304</xdr:rowOff>
    </xdr:to>
    <xdr:graphicFrame macro="">
      <xdr:nvGraphicFramePr>
        <xdr:cNvPr id="6597" name="Chart 2">
          <a:extLst>
            <a:ext uri="{FF2B5EF4-FFF2-40B4-BE49-F238E27FC236}">
              <a16:creationId xmlns:a16="http://schemas.microsoft.com/office/drawing/2014/main" id="{00000000-0008-0000-0900-0000C51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447675</xdr:colOff>
          <xdr:row>1</xdr:row>
          <xdr:rowOff>38100</xdr:rowOff>
        </xdr:from>
        <xdr:to>
          <xdr:col>3</xdr:col>
          <xdr:colOff>514350</xdr:colOff>
          <xdr:row>2</xdr:row>
          <xdr:rowOff>142875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9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123825</xdr:colOff>
      <xdr:row>65</xdr:row>
      <xdr:rowOff>9525</xdr:rowOff>
    </xdr:from>
    <xdr:to>
      <xdr:col>9</xdr:col>
      <xdr:colOff>704849</xdr:colOff>
      <xdr:row>84</xdr:row>
      <xdr:rowOff>125729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0</xdr:row>
          <xdr:rowOff>66675</xdr:rowOff>
        </xdr:from>
        <xdr:to>
          <xdr:col>2</xdr:col>
          <xdr:colOff>285750</xdr:colOff>
          <xdr:row>2</xdr:row>
          <xdr:rowOff>9525</xdr:rowOff>
        </xdr:to>
        <xdr:sp macro="" textlink="">
          <xdr:nvSpPr>
            <xdr:cNvPr id="6148" name="Object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9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95250</xdr:rowOff>
        </xdr:from>
        <xdr:to>
          <xdr:col>2</xdr:col>
          <xdr:colOff>581025</xdr:colOff>
          <xdr:row>4</xdr:row>
          <xdr:rowOff>47625</xdr:rowOff>
        </xdr:to>
        <xdr:sp macro="" textlink="">
          <xdr:nvSpPr>
            <xdr:cNvPr id="24580" name="Object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A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19050</xdr:rowOff>
        </xdr:from>
        <xdr:to>
          <xdr:col>2</xdr:col>
          <xdr:colOff>209550</xdr:colOff>
          <xdr:row>2</xdr:row>
          <xdr:rowOff>133350</xdr:rowOff>
        </xdr:to>
        <xdr:sp macro="" textlink="">
          <xdr:nvSpPr>
            <xdr:cNvPr id="26626" name="Object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B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</xdr:row>
          <xdr:rowOff>28575</xdr:rowOff>
        </xdr:from>
        <xdr:to>
          <xdr:col>2</xdr:col>
          <xdr:colOff>114300</xdr:colOff>
          <xdr:row>2</xdr:row>
          <xdr:rowOff>152400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C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</xdr:row>
          <xdr:rowOff>28575</xdr:rowOff>
        </xdr:from>
        <xdr:to>
          <xdr:col>2</xdr:col>
          <xdr:colOff>114300</xdr:colOff>
          <xdr:row>2</xdr:row>
          <xdr:rowOff>152400</xdr:rowOff>
        </xdr:to>
        <xdr:sp macro="" textlink="">
          <xdr:nvSpPr>
            <xdr:cNvPr id="25602" name="Object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C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447675</xdr:colOff>
          <xdr:row>3</xdr:row>
          <xdr:rowOff>114300</xdr:rowOff>
        </xdr:to>
        <xdr:sp macro="" textlink="">
          <xdr:nvSpPr>
            <xdr:cNvPr id="408578" name="Object 2" hidden="1">
              <a:extLst>
                <a:ext uri="{63B3BB69-23CF-44E3-9099-C40C66FF867C}">
                  <a14:compatExt spid="_x0000_s408578"/>
                </a:ext>
                <a:ext uri="{FF2B5EF4-FFF2-40B4-BE49-F238E27FC236}">
                  <a16:creationId xmlns:a16="http://schemas.microsoft.com/office/drawing/2014/main" id="{00000000-0008-0000-0D00-0000023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38100</xdr:rowOff>
        </xdr:from>
        <xdr:to>
          <xdr:col>1</xdr:col>
          <xdr:colOff>133350</xdr:colOff>
          <xdr:row>0</xdr:row>
          <xdr:rowOff>133350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E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35</xdr:row>
      <xdr:rowOff>9525</xdr:rowOff>
    </xdr:from>
    <xdr:to>
      <xdr:col>8</xdr:col>
      <xdr:colOff>495300</xdr:colOff>
      <xdr:row>47</xdr:row>
      <xdr:rowOff>57150</xdr:rowOff>
    </xdr:to>
    <xdr:graphicFrame macro="">
      <xdr:nvGraphicFramePr>
        <xdr:cNvPr id="29123" name="Chart 2">
          <a:extLst>
            <a:ext uri="{FF2B5EF4-FFF2-40B4-BE49-F238E27FC236}">
              <a16:creationId xmlns:a16="http://schemas.microsoft.com/office/drawing/2014/main" id="{00000000-0008-0000-0F00-0000C37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0</xdr:row>
          <xdr:rowOff>0</xdr:rowOff>
        </xdr:from>
        <xdr:to>
          <xdr:col>2</xdr:col>
          <xdr:colOff>600075</xdr:colOff>
          <xdr:row>3</xdr:row>
          <xdr:rowOff>28575</xdr:rowOff>
        </xdr:to>
        <xdr:sp macro="" textlink="">
          <xdr:nvSpPr>
            <xdr:cNvPr id="28674" name="Object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F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19050</xdr:colOff>
      <xdr:row>35</xdr:row>
      <xdr:rowOff>9525</xdr:rowOff>
    </xdr:from>
    <xdr:to>
      <xdr:col>8</xdr:col>
      <xdr:colOff>495300</xdr:colOff>
      <xdr:row>47</xdr:row>
      <xdr:rowOff>57150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552448</xdr:colOff>
      <xdr:row>19</xdr:row>
      <xdr:rowOff>57150</xdr:rowOff>
    </xdr:from>
    <xdr:to>
      <xdr:col>11</xdr:col>
      <xdr:colOff>352424</xdr:colOff>
      <xdr:row>38</xdr:row>
      <xdr:rowOff>142875</xdr:rowOff>
    </xdr:to>
    <xdr:graphicFrame macro="">
      <xdr:nvGraphicFramePr>
        <xdr:cNvPr id="35270" name="Chart 4">
          <a:extLst>
            <a:ext uri="{FF2B5EF4-FFF2-40B4-BE49-F238E27FC236}">
              <a16:creationId xmlns:a16="http://schemas.microsoft.com/office/drawing/2014/main" id="{00000000-0008-0000-1000-0000C68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552448</xdr:colOff>
      <xdr:row>19</xdr:row>
      <xdr:rowOff>57150</xdr:rowOff>
    </xdr:from>
    <xdr:to>
      <xdr:col>11</xdr:col>
      <xdr:colOff>352424</xdr:colOff>
      <xdr:row>38</xdr:row>
      <xdr:rowOff>142875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</xdr:rowOff>
        </xdr:from>
        <xdr:to>
          <xdr:col>3</xdr:col>
          <xdr:colOff>228600</xdr:colOff>
          <xdr:row>3</xdr:row>
          <xdr:rowOff>57150</xdr:rowOff>
        </xdr:to>
        <xdr:sp macro="" textlink="">
          <xdr:nvSpPr>
            <xdr:cNvPr id="34818" name="Object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10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47625</xdr:rowOff>
        </xdr:from>
        <xdr:to>
          <xdr:col>3</xdr:col>
          <xdr:colOff>142875</xdr:colOff>
          <xdr:row>4</xdr:row>
          <xdr:rowOff>19050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</xdr:row>
          <xdr:rowOff>38100</xdr:rowOff>
        </xdr:from>
        <xdr:to>
          <xdr:col>1</xdr:col>
          <xdr:colOff>438150</xdr:colOff>
          <xdr:row>4</xdr:row>
          <xdr:rowOff>0</xdr:rowOff>
        </xdr:to>
        <xdr:sp macro="" textlink="">
          <xdr:nvSpPr>
            <xdr:cNvPr id="404481" name="Object 1" hidden="1">
              <a:extLst>
                <a:ext uri="{63B3BB69-23CF-44E3-9099-C40C66FF867C}">
                  <a14:compatExt spid="_x0000_s404481"/>
                </a:ext>
                <a:ext uri="{FF2B5EF4-FFF2-40B4-BE49-F238E27FC236}">
                  <a16:creationId xmlns:a16="http://schemas.microsoft.com/office/drawing/2014/main" id="{00000000-0008-0000-0200-0000012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381000</xdr:colOff>
          <xdr:row>3</xdr:row>
          <xdr:rowOff>152400</xdr:rowOff>
        </xdr:to>
        <xdr:sp macro="" textlink="">
          <xdr:nvSpPr>
            <xdr:cNvPr id="405505" name="Object 1" hidden="1">
              <a:extLst>
                <a:ext uri="{63B3BB69-23CF-44E3-9099-C40C66FF867C}">
                  <a14:compatExt spid="_x0000_s405505"/>
                </a:ext>
                <a:ext uri="{FF2B5EF4-FFF2-40B4-BE49-F238E27FC236}">
                  <a16:creationId xmlns:a16="http://schemas.microsoft.com/office/drawing/2014/main" id="{00000000-0008-0000-0300-0000013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200025</xdr:colOff>
          <xdr:row>3</xdr:row>
          <xdr:rowOff>95250</xdr:rowOff>
        </xdr:to>
        <xdr:sp macro="" textlink="">
          <xdr:nvSpPr>
            <xdr:cNvPr id="406529" name="Object 1" hidden="1">
              <a:extLst>
                <a:ext uri="{63B3BB69-23CF-44E3-9099-C40C66FF867C}">
                  <a14:compatExt spid="_x0000_s406529"/>
                </a:ext>
                <a:ext uri="{FF2B5EF4-FFF2-40B4-BE49-F238E27FC236}">
                  <a16:creationId xmlns:a16="http://schemas.microsoft.com/office/drawing/2014/main" id="{00000000-0008-0000-0400-0000013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</xdr:row>
          <xdr:rowOff>57150</xdr:rowOff>
        </xdr:from>
        <xdr:to>
          <xdr:col>1</xdr:col>
          <xdr:colOff>171450</xdr:colOff>
          <xdr:row>5</xdr:row>
          <xdr:rowOff>180975</xdr:rowOff>
        </xdr:to>
        <xdr:sp macro="" textlink="">
          <xdr:nvSpPr>
            <xdr:cNvPr id="407554" name="Object 2" hidden="1">
              <a:extLst>
                <a:ext uri="{63B3BB69-23CF-44E3-9099-C40C66FF867C}">
                  <a14:compatExt spid="_x0000_s407554"/>
                </a:ext>
                <a:ext uri="{FF2B5EF4-FFF2-40B4-BE49-F238E27FC236}">
                  <a16:creationId xmlns:a16="http://schemas.microsoft.com/office/drawing/2014/main" id="{00000000-0008-0000-0500-0000023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57150</xdr:rowOff>
        </xdr:from>
        <xdr:to>
          <xdr:col>2</xdr:col>
          <xdr:colOff>190500</xdr:colOff>
          <xdr:row>1</xdr:row>
          <xdr:rowOff>28575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6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33</xdr:row>
      <xdr:rowOff>91440</xdr:rowOff>
    </xdr:from>
    <xdr:to>
      <xdr:col>16</xdr:col>
      <xdr:colOff>160020</xdr:colOff>
      <xdr:row>55</xdr:row>
      <xdr:rowOff>106680</xdr:rowOff>
    </xdr:to>
    <xdr:graphicFrame macro="">
      <xdr:nvGraphicFramePr>
        <xdr:cNvPr id="2503" name="Chart 6">
          <a:extLst>
            <a:ext uri="{FF2B5EF4-FFF2-40B4-BE49-F238E27FC236}">
              <a16:creationId xmlns:a16="http://schemas.microsoft.com/office/drawing/2014/main" id="{00000000-0008-0000-0700-0000C7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0</xdr:row>
          <xdr:rowOff>66675</xdr:rowOff>
        </xdr:from>
        <xdr:to>
          <xdr:col>1</xdr:col>
          <xdr:colOff>247650</xdr:colOff>
          <xdr:row>1</xdr:row>
          <xdr:rowOff>47625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314325</xdr:colOff>
          <xdr:row>3</xdr:row>
          <xdr:rowOff>57150</xdr:rowOff>
        </xdr:to>
        <xdr:sp macro="" textlink="">
          <xdr:nvSpPr>
            <xdr:cNvPr id="396289" name="Object 1" hidden="1">
              <a:extLst>
                <a:ext uri="{63B3BB69-23CF-44E3-9099-C40C66FF867C}">
                  <a14:compatExt spid="_x0000_s396289"/>
                </a:ext>
                <a:ext uri="{FF2B5EF4-FFF2-40B4-BE49-F238E27FC236}">
                  <a16:creationId xmlns:a16="http://schemas.microsoft.com/office/drawing/2014/main" id="{00000000-0008-0000-0800-0000010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11%20Economic%20Performance\Economic%20Reports\Annual\AER%202014\money%20&amp;%20banking%20Master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ph_eu\Desktop\Copy%20of%20Chapter%2012%20-%20Monetary%20and%20Financial%20Serv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$m"/>
      <sheetName val="Loans CI$m"/>
      <sheetName val="Money Master"/>
      <sheetName val="Qtr Charts"/>
      <sheetName val="Charts"/>
      <sheetName val="interest rates"/>
      <sheetName val="US$"/>
      <sheetName val="CI$th"/>
      <sheetName val="Loans US$"/>
      <sheetName val="Loans CI$th"/>
      <sheetName val="US$ Loans"/>
      <sheetName val="CI$ Loans"/>
      <sheetName val="Charts adjusted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6">
          <cell r="AM46">
            <v>460587.5</v>
          </cell>
        </row>
        <row r="49">
          <cell r="AM49">
            <v>276093.33333333337</v>
          </cell>
        </row>
        <row r="50">
          <cell r="AM50">
            <v>376867.5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1"/>
      <sheetName val=".02"/>
      <sheetName val=".03a"/>
      <sheetName val=".03b"/>
      <sheetName val=".03c"/>
      <sheetName val=".04"/>
      <sheetName val=".03 delete"/>
      <sheetName val=".04 delete"/>
      <sheetName val=".05"/>
      <sheetName val=".06"/>
      <sheetName val=".07"/>
      <sheetName val=".08"/>
      <sheetName val=".09"/>
      <sheetName val=".10"/>
      <sheetName val=".10 delete"/>
      <sheetName val=".11"/>
      <sheetName val=".12 &amp; .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7">
          <cell r="P37" t="str">
            <v>Assets</v>
          </cell>
          <cell r="Q37" t="str">
            <v>Liabilities</v>
          </cell>
        </row>
        <row r="112">
          <cell r="C112">
            <v>2012</v>
          </cell>
          <cell r="D112">
            <v>1409321</v>
          </cell>
          <cell r="F112">
            <v>1434218</v>
          </cell>
        </row>
        <row r="113">
          <cell r="C113">
            <v>2013</v>
          </cell>
          <cell r="D113">
            <v>1377200</v>
          </cell>
          <cell r="F113">
            <v>1366800</v>
          </cell>
        </row>
        <row r="114">
          <cell r="C114">
            <v>2014</v>
          </cell>
          <cell r="D114">
            <v>1423029</v>
          </cell>
          <cell r="F114">
            <v>1443356</v>
          </cell>
        </row>
        <row r="115">
          <cell r="C115">
            <v>2015</v>
          </cell>
          <cell r="D115">
            <v>1377000</v>
          </cell>
          <cell r="F115">
            <v>1380000</v>
          </cell>
        </row>
        <row r="116">
          <cell r="C116">
            <v>2016</v>
          </cell>
          <cell r="D116">
            <v>1015623</v>
          </cell>
          <cell r="F116">
            <v>985470</v>
          </cell>
        </row>
        <row r="117">
          <cell r="C117">
            <v>2017</v>
          </cell>
          <cell r="D117">
            <v>914692</v>
          </cell>
          <cell r="F117">
            <v>874427</v>
          </cell>
        </row>
        <row r="118">
          <cell r="C118">
            <v>2018</v>
          </cell>
          <cell r="D118">
            <v>652463</v>
          </cell>
          <cell r="F118">
            <v>622186</v>
          </cell>
        </row>
        <row r="119">
          <cell r="C119">
            <v>2019</v>
          </cell>
          <cell r="D119">
            <v>639524</v>
          </cell>
          <cell r="F119">
            <v>609685</v>
          </cell>
        </row>
        <row r="120">
          <cell r="C120">
            <v>2020</v>
          </cell>
          <cell r="D120">
            <v>578970</v>
          </cell>
          <cell r="F120">
            <v>537752</v>
          </cell>
        </row>
        <row r="121">
          <cell r="C121">
            <v>2021</v>
          </cell>
          <cell r="D121">
            <v>502979</v>
          </cell>
          <cell r="F121">
            <v>470799</v>
          </cell>
        </row>
        <row r="122">
          <cell r="C122">
            <v>2022</v>
          </cell>
          <cell r="D122">
            <v>472544</v>
          </cell>
          <cell r="F122">
            <v>424293</v>
          </cell>
        </row>
        <row r="123">
          <cell r="C123">
            <v>2023</v>
          </cell>
          <cell r="D123">
            <v>368896</v>
          </cell>
          <cell r="F123">
            <v>331702</v>
          </cell>
        </row>
      </sheetData>
      <sheetData sheetId="10"/>
      <sheetData sheetId="11"/>
      <sheetData sheetId="12"/>
      <sheetData sheetId="13"/>
      <sheetData sheetId="14"/>
      <sheetData sheetId="15">
        <row r="13">
          <cell r="D13">
            <v>2015</v>
          </cell>
          <cell r="E13">
            <v>2016</v>
          </cell>
          <cell r="F13">
            <v>2017</v>
          </cell>
          <cell r="G13">
            <v>2018</v>
          </cell>
          <cell r="H13">
            <v>2019</v>
          </cell>
          <cell r="I13">
            <v>2020</v>
          </cell>
          <cell r="J13">
            <v>2021</v>
          </cell>
          <cell r="K13">
            <v>2022</v>
          </cell>
          <cell r="L13">
            <v>2023</v>
          </cell>
        </row>
        <row r="15">
          <cell r="C15" t="str">
            <v>Mutual Funds</v>
          </cell>
        </row>
        <row r="21">
          <cell r="D21">
            <v>10940</v>
          </cell>
          <cell r="E21">
            <v>10586</v>
          </cell>
          <cell r="F21">
            <v>10559</v>
          </cell>
          <cell r="G21">
            <v>10992</v>
          </cell>
          <cell r="H21">
            <v>10857</v>
          </cell>
          <cell r="I21">
            <v>11896</v>
          </cell>
          <cell r="J21">
            <v>12719</v>
          </cell>
          <cell r="K21">
            <v>12995</v>
          </cell>
          <cell r="L21">
            <v>12802</v>
          </cell>
        </row>
      </sheetData>
      <sheetData sheetId="16">
        <row r="10">
          <cell r="E10">
            <v>2017</v>
          </cell>
          <cell r="F10">
            <v>2018</v>
          </cell>
          <cell r="G10">
            <v>2019</v>
          </cell>
          <cell r="H10">
            <v>2020</v>
          </cell>
          <cell r="I10">
            <v>2021</v>
          </cell>
          <cell r="J10">
            <v>2022</v>
          </cell>
          <cell r="K10">
            <v>2023</v>
          </cell>
        </row>
        <row r="11">
          <cell r="E11">
            <v>1238</v>
          </cell>
          <cell r="F11">
            <v>1699</v>
          </cell>
          <cell r="G11">
            <v>2078</v>
          </cell>
          <cell r="H11">
            <v>2336</v>
          </cell>
          <cell r="I11">
            <v>2681</v>
          </cell>
          <cell r="J11">
            <v>2734</v>
          </cell>
          <cell r="K11">
            <v>2772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2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6" Type="http://schemas.openxmlformats.org/officeDocument/2006/relationships/oleObject" Target="../embeddings/oleObject1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8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7030A0"/>
    <pageSetUpPr fitToPage="1"/>
  </sheetPr>
  <dimension ref="B2:L42"/>
  <sheetViews>
    <sheetView zoomScaleNormal="100" zoomScaleSheetLayoutView="100" workbookViewId="0">
      <selection activeCell="G39" sqref="G39"/>
    </sheetView>
  </sheetViews>
  <sheetFormatPr defaultRowHeight="12.75" x14ac:dyDescent="0.2"/>
  <cols>
    <col min="1" max="1" width="2.7109375" style="17" customWidth="1"/>
    <col min="2" max="2" width="7.85546875" style="17" customWidth="1"/>
    <col min="3" max="3" width="31" style="17" customWidth="1"/>
    <col min="4" max="4" width="9.140625" style="17"/>
    <col min="5" max="5" width="11.28515625" style="17" bestFit="1" customWidth="1"/>
    <col min="6" max="11" width="9.140625" style="17"/>
    <col min="12" max="12" width="9.140625" style="17" customWidth="1"/>
    <col min="13" max="13" width="10.28515625" style="17" bestFit="1" customWidth="1"/>
    <col min="14" max="16384" width="9.140625" style="17"/>
  </cols>
  <sheetData>
    <row r="2" spans="2:12" x14ac:dyDescent="0.2">
      <c r="H2" s="140" t="s">
        <v>253</v>
      </c>
    </row>
    <row r="3" spans="2:12" x14ac:dyDescent="0.2">
      <c r="E3" s="140"/>
    </row>
    <row r="5" spans="2:12" ht="15" x14ac:dyDescent="0.25">
      <c r="B5" s="141"/>
      <c r="C5" s="141"/>
      <c r="D5" s="143"/>
      <c r="E5" s="143"/>
    </row>
    <row r="8" spans="2:12" ht="15.75" x14ac:dyDescent="0.25">
      <c r="B8" s="144">
        <v>12.01</v>
      </c>
      <c r="C8" s="311" t="s">
        <v>252</v>
      </c>
      <c r="D8" s="311"/>
      <c r="E8" s="311"/>
      <c r="F8" s="311"/>
      <c r="G8" s="311"/>
      <c r="H8" s="311"/>
      <c r="I8" s="311"/>
      <c r="J8" s="311"/>
      <c r="K8" s="311"/>
    </row>
    <row r="11" spans="2:12" x14ac:dyDescent="0.2">
      <c r="C11" s="227"/>
      <c r="D11" s="228">
        <v>2015</v>
      </c>
      <c r="E11" s="228">
        <v>2016</v>
      </c>
      <c r="F11" s="228">
        <v>2017</v>
      </c>
      <c r="G11" s="228">
        <v>2018</v>
      </c>
      <c r="H11" s="228">
        <v>2019</v>
      </c>
      <c r="I11" s="228">
        <v>2020</v>
      </c>
      <c r="J11" s="228">
        <v>2021</v>
      </c>
      <c r="K11" s="228">
        <v>2022</v>
      </c>
      <c r="L11" s="228">
        <v>2023</v>
      </c>
    </row>
    <row r="12" spans="2:12" x14ac:dyDescent="0.2">
      <c r="B12" s="25"/>
      <c r="C12" s="25"/>
    </row>
    <row r="13" spans="2:12" s="147" customFormat="1" x14ac:dyDescent="0.2">
      <c r="B13" s="145"/>
      <c r="C13" s="146" t="s">
        <v>136</v>
      </c>
      <c r="D13" s="229">
        <v>5898</v>
      </c>
      <c r="E13" s="229">
        <v>6155.285374000001</v>
      </c>
      <c r="F13" s="229">
        <v>7285.8559344766672</v>
      </c>
      <c r="G13" s="229">
        <v>7374.4889771666676</v>
      </c>
      <c r="H13" s="229">
        <v>7566.191774783334</v>
      </c>
      <c r="I13" s="229">
        <v>8189.7757487250019</v>
      </c>
      <c r="J13" s="229">
        <v>8660.1674766666674</v>
      </c>
      <c r="K13" s="229">
        <v>8537.0496658499978</v>
      </c>
      <c r="L13" s="229">
        <v>8474.44363469167</v>
      </c>
    </row>
    <row r="14" spans="2:12" x14ac:dyDescent="0.2">
      <c r="C14" s="146" t="s">
        <v>137</v>
      </c>
      <c r="D14" s="230">
        <v>3795.4</v>
      </c>
      <c r="E14" s="230">
        <v>3882.9874646666667</v>
      </c>
      <c r="F14" s="230">
        <v>4954.5477863333326</v>
      </c>
      <c r="G14" s="230">
        <v>5305.0666216666668</v>
      </c>
      <c r="H14" s="230">
        <v>5330.4999631999999</v>
      </c>
      <c r="I14" s="230">
        <v>5889.7552644816687</v>
      </c>
      <c r="J14" s="230">
        <v>6005.7233215416682</v>
      </c>
      <c r="K14" s="230">
        <v>5410.8788360916651</v>
      </c>
      <c r="L14" s="230">
        <v>5190.4981228416664</v>
      </c>
    </row>
    <row r="15" spans="2:12" x14ac:dyDescent="0.2">
      <c r="B15" s="25"/>
      <c r="C15" s="122" t="s">
        <v>172</v>
      </c>
      <c r="D15" s="230">
        <v>110.8</v>
      </c>
      <c r="E15" s="230">
        <v>122.210798</v>
      </c>
      <c r="F15" s="230">
        <v>126.617673</v>
      </c>
      <c r="G15" s="230">
        <v>135.807455</v>
      </c>
      <c r="H15" s="230">
        <v>153.763303175</v>
      </c>
      <c r="I15" s="230">
        <v>181.49762875666667</v>
      </c>
      <c r="J15" s="230">
        <v>191.350604</v>
      </c>
      <c r="K15" s="230">
        <v>189.01524900000001</v>
      </c>
      <c r="L15" s="230">
        <v>196.091992</v>
      </c>
    </row>
    <row r="16" spans="2:12" x14ac:dyDescent="0.2">
      <c r="B16" s="25"/>
      <c r="C16" s="231" t="s">
        <v>171</v>
      </c>
      <c r="D16" s="230">
        <v>3684.6</v>
      </c>
      <c r="E16" s="230">
        <v>3760.7766666666666</v>
      </c>
      <c r="F16" s="230">
        <v>4827.9333333333325</v>
      </c>
      <c r="G16" s="230">
        <v>5169.2591666666667</v>
      </c>
      <c r="H16" s="230">
        <v>5176.7366600249998</v>
      </c>
      <c r="I16" s="230">
        <v>5708.2576357250018</v>
      </c>
      <c r="J16" s="230">
        <v>5814.372717541668</v>
      </c>
      <c r="K16" s="230">
        <v>5221.8635870916651</v>
      </c>
      <c r="L16" s="230">
        <v>4994.4061308416667</v>
      </c>
    </row>
    <row r="17" spans="2:12" x14ac:dyDescent="0.2">
      <c r="B17" s="25"/>
      <c r="C17" s="146" t="s">
        <v>138</v>
      </c>
      <c r="D17" s="232">
        <v>2102.5</v>
      </c>
      <c r="E17" s="232">
        <v>2272.2979093333329</v>
      </c>
      <c r="F17" s="232">
        <v>2331.3081481433346</v>
      </c>
      <c r="G17" s="232">
        <v>2069.4223555000003</v>
      </c>
      <c r="H17" s="232">
        <v>2235.6918115833341</v>
      </c>
      <c r="I17" s="232">
        <v>2300.0204842433332</v>
      </c>
      <c r="J17" s="232">
        <v>2654.4441551249993</v>
      </c>
      <c r="K17" s="232">
        <v>3126.1708297583332</v>
      </c>
      <c r="L17" s="232">
        <v>3283.9455118500041</v>
      </c>
    </row>
    <row r="18" spans="2:12" x14ac:dyDescent="0.2">
      <c r="B18" s="25"/>
      <c r="C18" s="233" t="s">
        <v>139</v>
      </c>
      <c r="D18" s="234">
        <v>2981.2</v>
      </c>
      <c r="E18" s="234">
        <v>3083.8850000000002</v>
      </c>
      <c r="F18" s="234">
        <v>3188.5433333333331</v>
      </c>
      <c r="G18" s="234">
        <v>3066.3250000000003</v>
      </c>
      <c r="H18" s="234">
        <v>3300.8906300000003</v>
      </c>
      <c r="I18" s="234">
        <v>3432.9350895083335</v>
      </c>
      <c r="J18" s="234">
        <v>3679.6947863083333</v>
      </c>
      <c r="K18" s="234">
        <v>4055.6617667916676</v>
      </c>
      <c r="L18" s="234">
        <v>4235.8356481666669</v>
      </c>
    </row>
    <row r="19" spans="2:12" x14ac:dyDescent="0.2">
      <c r="B19" s="25"/>
      <c r="C19" s="235" t="s">
        <v>144</v>
      </c>
      <c r="D19" s="236">
        <v>226.5</v>
      </c>
      <c r="E19" s="236">
        <v>210.95083333333335</v>
      </c>
      <c r="F19" s="236">
        <v>182.83416666666668</v>
      </c>
      <c r="G19" s="236">
        <v>157.1575</v>
      </c>
      <c r="H19" s="236">
        <v>230.9288066666667</v>
      </c>
      <c r="I19" s="236">
        <v>198.58131250000002</v>
      </c>
      <c r="J19" s="236">
        <v>175.55840093333333</v>
      </c>
      <c r="K19" s="236">
        <v>407.03109105000004</v>
      </c>
      <c r="L19" s="236">
        <v>420.350501925</v>
      </c>
    </row>
    <row r="20" spans="2:12" x14ac:dyDescent="0.2">
      <c r="B20" s="25"/>
      <c r="C20" s="235" t="s">
        <v>145</v>
      </c>
      <c r="D20" s="236">
        <v>70</v>
      </c>
      <c r="E20" s="236">
        <v>63.962499999999999</v>
      </c>
      <c r="F20" s="236">
        <v>55.531666666666673</v>
      </c>
      <c r="G20" s="236">
        <v>50.06666666666667</v>
      </c>
      <c r="H20" s="236">
        <v>45.054499999999997</v>
      </c>
      <c r="I20" s="236">
        <v>38.730596666666671</v>
      </c>
      <c r="J20" s="236">
        <v>29.745413333333335</v>
      </c>
      <c r="K20" s="236">
        <v>20.731318750000003</v>
      </c>
      <c r="L20" s="236">
        <v>15.389635016666668</v>
      </c>
    </row>
    <row r="21" spans="2:12" x14ac:dyDescent="0.2">
      <c r="B21" s="25"/>
      <c r="C21" s="235" t="s">
        <v>146</v>
      </c>
      <c r="D21" s="236">
        <v>2684.7</v>
      </c>
      <c r="E21" s="236">
        <v>2808.9716666666668</v>
      </c>
      <c r="F21" s="236">
        <v>2950.1774999999998</v>
      </c>
      <c r="G21" s="236">
        <v>2859.1008333333334</v>
      </c>
      <c r="H21" s="236">
        <v>3024.9073233333338</v>
      </c>
      <c r="I21" s="236">
        <v>3195.6231803416667</v>
      </c>
      <c r="J21" s="236">
        <v>3474.3909720416664</v>
      </c>
      <c r="K21" s="236">
        <v>3627.8993569916674</v>
      </c>
      <c r="L21" s="236">
        <v>3800.0955112250003</v>
      </c>
    </row>
    <row r="22" spans="2:12" x14ac:dyDescent="0.2">
      <c r="B22" s="25"/>
      <c r="C22" s="233" t="s">
        <v>170</v>
      </c>
      <c r="D22" s="237">
        <v>-878.7</v>
      </c>
      <c r="E22" s="237">
        <v>-947.16959066666652</v>
      </c>
      <c r="F22" s="237">
        <v>-1085.125071856665</v>
      </c>
      <c r="G22" s="237">
        <v>-996.90264449999995</v>
      </c>
      <c r="H22" s="237">
        <v>-1065.1988184166664</v>
      </c>
      <c r="I22" s="237">
        <v>-1132.9146052650003</v>
      </c>
      <c r="J22" s="237">
        <v>-1025.250631183334</v>
      </c>
      <c r="K22" s="237">
        <v>-929.49093703333426</v>
      </c>
      <c r="L22" s="237">
        <v>-951.89013631666296</v>
      </c>
    </row>
    <row r="23" spans="2:12" x14ac:dyDescent="0.2">
      <c r="B23" s="25"/>
      <c r="C23" s="238"/>
      <c r="D23" s="236"/>
      <c r="E23" s="236"/>
      <c r="F23" s="236"/>
      <c r="G23" s="236"/>
      <c r="H23" s="236"/>
      <c r="I23" s="236"/>
      <c r="J23" s="236"/>
      <c r="K23" s="236"/>
      <c r="L23" s="236"/>
    </row>
    <row r="24" spans="2:12" x14ac:dyDescent="0.2">
      <c r="B24" s="25"/>
      <c r="C24" s="239" t="s">
        <v>140</v>
      </c>
      <c r="D24" s="232">
        <v>5898</v>
      </c>
      <c r="E24" s="232">
        <v>6155.285374</v>
      </c>
      <c r="F24" s="232">
        <v>7285.8559344766672</v>
      </c>
      <c r="G24" s="232">
        <v>7374.4889771666667</v>
      </c>
      <c r="H24" s="232">
        <v>7566.191774783334</v>
      </c>
      <c r="I24" s="232">
        <v>8189.7757487250001</v>
      </c>
      <c r="J24" s="232">
        <v>8660.1674766666674</v>
      </c>
      <c r="K24" s="232">
        <v>8537.0496658499997</v>
      </c>
      <c r="L24" s="232">
        <v>8474.4436346916664</v>
      </c>
    </row>
    <row r="25" spans="2:12" x14ac:dyDescent="0.2">
      <c r="B25" s="25"/>
      <c r="C25" s="240" t="s">
        <v>141</v>
      </c>
      <c r="D25" s="234">
        <v>1394.5</v>
      </c>
      <c r="E25" s="234">
        <v>1534.3262073333333</v>
      </c>
      <c r="F25" s="234">
        <v>1649.8442678100002</v>
      </c>
      <c r="G25" s="234">
        <v>1737.5665846666668</v>
      </c>
      <c r="H25" s="234">
        <v>1953.2387681416667</v>
      </c>
      <c r="I25" s="234">
        <v>2317.0859768750001</v>
      </c>
      <c r="J25" s="234">
        <v>2513.2323290666664</v>
      </c>
      <c r="K25" s="234">
        <v>2559.0104804833331</v>
      </c>
      <c r="L25" s="234">
        <v>2631.0556202916669</v>
      </c>
    </row>
    <row r="26" spans="2:12" ht="14.25" customHeight="1" x14ac:dyDescent="0.2">
      <c r="B26" s="25"/>
      <c r="C26" s="241" t="s">
        <v>147</v>
      </c>
      <c r="D26" s="236">
        <v>107.7</v>
      </c>
      <c r="E26" s="236">
        <v>115.635374</v>
      </c>
      <c r="F26" s="236">
        <v>119.544141</v>
      </c>
      <c r="G26" s="236">
        <v>126.608943</v>
      </c>
      <c r="H26" s="236">
        <v>140.36873600000001</v>
      </c>
      <c r="I26" s="236">
        <v>164.42634099999998</v>
      </c>
      <c r="J26" s="236">
        <v>173.503648</v>
      </c>
      <c r="K26" s="236">
        <v>171.11695399999999</v>
      </c>
      <c r="L26" s="236">
        <v>169.51480699999996</v>
      </c>
    </row>
    <row r="27" spans="2:12" x14ac:dyDescent="0.2">
      <c r="B27" s="25"/>
      <c r="C27" s="241" t="s">
        <v>148</v>
      </c>
      <c r="D27" s="236">
        <v>1286.8</v>
      </c>
      <c r="E27" s="236">
        <v>1418.6908333333333</v>
      </c>
      <c r="F27" s="236">
        <v>1530.3001268100002</v>
      </c>
      <c r="G27" s="236">
        <v>1610.9576416666669</v>
      </c>
      <c r="H27" s="236">
        <v>1812.8700321416668</v>
      </c>
      <c r="I27" s="236">
        <v>2152.6596358750003</v>
      </c>
      <c r="J27" s="236">
        <v>2339.7286810666665</v>
      </c>
      <c r="K27" s="236">
        <v>2387.8935264833331</v>
      </c>
      <c r="L27" s="236">
        <v>2461.5408132916668</v>
      </c>
    </row>
    <row r="28" spans="2:12" x14ac:dyDescent="0.2">
      <c r="B28" s="25"/>
      <c r="C28" s="241" t="s">
        <v>149</v>
      </c>
      <c r="D28" s="236">
        <v>505.3</v>
      </c>
      <c r="E28" s="236">
        <v>595.92499999999995</v>
      </c>
      <c r="F28" s="236">
        <v>648.04929347666666</v>
      </c>
      <c r="G28" s="236">
        <v>643.40583333333336</v>
      </c>
      <c r="H28" s="236">
        <v>775.34864452500005</v>
      </c>
      <c r="I28" s="236">
        <v>937.35993120833348</v>
      </c>
      <c r="J28" s="236">
        <v>1055.63815155</v>
      </c>
      <c r="K28" s="236">
        <v>1005.4872679833334</v>
      </c>
      <c r="L28" s="236">
        <v>1037.3936241500001</v>
      </c>
    </row>
    <row r="29" spans="2:12" x14ac:dyDescent="0.2">
      <c r="B29" s="25"/>
      <c r="C29" s="231" t="s">
        <v>150</v>
      </c>
      <c r="D29" s="230">
        <v>781.6</v>
      </c>
      <c r="E29" s="230">
        <v>822.76583333333338</v>
      </c>
      <c r="F29" s="230">
        <v>882.2508333333335</v>
      </c>
      <c r="G29" s="230">
        <v>967.55180833333338</v>
      </c>
      <c r="H29" s="230">
        <v>1037.5213876166667</v>
      </c>
      <c r="I29" s="230">
        <v>1215.2997046666667</v>
      </c>
      <c r="J29" s="230">
        <v>1284.0905295166667</v>
      </c>
      <c r="K29" s="230">
        <v>1382.4062584999997</v>
      </c>
      <c r="L29" s="230">
        <v>1424.1471891416668</v>
      </c>
    </row>
    <row r="30" spans="2:12" s="30" customFormat="1" x14ac:dyDescent="0.2">
      <c r="B30" s="148"/>
      <c r="C30" s="239" t="s">
        <v>142</v>
      </c>
      <c r="D30" s="234">
        <v>4503.3999999999996</v>
      </c>
      <c r="E30" s="234">
        <v>4620.9591666666665</v>
      </c>
      <c r="F30" s="234">
        <v>5636.0116666666672</v>
      </c>
      <c r="G30" s="234">
        <v>5636.9223924999997</v>
      </c>
      <c r="H30" s="234">
        <v>5612.9530066416673</v>
      </c>
      <c r="I30" s="234">
        <v>5872.6897718500004</v>
      </c>
      <c r="J30" s="234">
        <v>6146.9351476000011</v>
      </c>
      <c r="K30" s="234">
        <v>5978.039185366667</v>
      </c>
      <c r="L30" s="234">
        <v>5843.3880143999995</v>
      </c>
    </row>
    <row r="31" spans="2:12" x14ac:dyDescent="0.2">
      <c r="B31" s="25"/>
      <c r="C31" s="231" t="s">
        <v>151</v>
      </c>
      <c r="D31" s="230">
        <v>4158.6000000000004</v>
      </c>
      <c r="E31" s="230">
        <v>4216.5524999999998</v>
      </c>
      <c r="F31" s="230">
        <v>5235.3933333333343</v>
      </c>
      <c r="G31" s="230">
        <v>5261.9582258333339</v>
      </c>
      <c r="H31" s="230">
        <v>5203.1423801833344</v>
      </c>
      <c r="I31" s="230">
        <v>5332.581013883334</v>
      </c>
      <c r="J31" s="230">
        <v>5671.6060927833332</v>
      </c>
      <c r="K31" s="230">
        <v>5564.906127891667</v>
      </c>
      <c r="L31" s="230">
        <v>5501.9121018583328</v>
      </c>
    </row>
    <row r="32" spans="2:12" x14ac:dyDescent="0.2">
      <c r="B32" s="25"/>
      <c r="C32" s="242"/>
      <c r="D32" s="167"/>
      <c r="E32" s="167"/>
      <c r="F32" s="167"/>
      <c r="G32" s="167"/>
      <c r="H32" s="167"/>
      <c r="I32" s="167"/>
      <c r="J32" s="167"/>
      <c r="K32" s="167"/>
      <c r="L32" s="167"/>
    </row>
    <row r="33" spans="2:3" x14ac:dyDescent="0.2">
      <c r="B33" s="25"/>
      <c r="C33" s="243"/>
    </row>
    <row r="34" spans="2:3" x14ac:dyDescent="0.2">
      <c r="C34" s="146" t="s">
        <v>152</v>
      </c>
    </row>
    <row r="35" spans="2:3" ht="14.25" x14ac:dyDescent="0.2">
      <c r="B35" s="149"/>
      <c r="C35" s="129"/>
    </row>
    <row r="36" spans="2:3" ht="14.25" x14ac:dyDescent="0.2">
      <c r="B36" s="150"/>
    </row>
    <row r="37" spans="2:3" ht="14.25" x14ac:dyDescent="0.2">
      <c r="B37" s="150"/>
    </row>
    <row r="38" spans="2:3" ht="14.25" x14ac:dyDescent="0.2">
      <c r="B38" s="150"/>
    </row>
    <row r="40" spans="2:3" ht="14.25" x14ac:dyDescent="0.2">
      <c r="B40" s="150"/>
    </row>
    <row r="41" spans="2:3" ht="14.25" x14ac:dyDescent="0.2">
      <c r="B41" s="150"/>
    </row>
    <row r="42" spans="2:3" ht="14.25" x14ac:dyDescent="0.2">
      <c r="B42" s="150"/>
    </row>
  </sheetData>
  <mergeCells count="1">
    <mergeCell ref="C8:K8"/>
  </mergeCells>
  <phoneticPr fontId="6" type="noConversion"/>
  <printOptions horizontalCentered="1"/>
  <pageMargins left="1" right="1" top="1" bottom="0.93" header="0.5" footer="0.24"/>
  <pageSetup scale="72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8194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276225</xdr:colOff>
                <xdr:row>4</xdr:row>
                <xdr:rowOff>57150</xdr:rowOff>
              </to>
            </anchor>
          </objectPr>
        </oleObject>
      </mc:Choice>
      <mc:Fallback>
        <oleObject progId="MSPhotoEd.3" shapeId="8194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B1:AQ190"/>
  <sheetViews>
    <sheetView zoomScaleNormal="100" zoomScaleSheetLayoutView="100" workbookViewId="0">
      <selection activeCell="M67" sqref="M67"/>
    </sheetView>
  </sheetViews>
  <sheetFormatPr defaultColWidth="9.140625" defaultRowHeight="12.75" x14ac:dyDescent="0.2"/>
  <cols>
    <col min="1" max="1" width="2.7109375" style="17" customWidth="1"/>
    <col min="2" max="2" width="8.140625" style="17" customWidth="1"/>
    <col min="3" max="3" width="12.28515625" style="17" customWidth="1"/>
    <col min="4" max="4" width="12.42578125" style="17" customWidth="1"/>
    <col min="5" max="5" width="1.5703125" style="17" customWidth="1"/>
    <col min="6" max="6" width="13.28515625" style="17" customWidth="1"/>
    <col min="7" max="7" width="3.7109375" style="17" customWidth="1"/>
    <col min="8" max="8" width="12.85546875" style="17" customWidth="1"/>
    <col min="9" max="9" width="1.42578125" style="17" customWidth="1"/>
    <col min="10" max="10" width="10.7109375" style="17" customWidth="1"/>
    <col min="11" max="11" width="1.7109375" style="17" customWidth="1"/>
    <col min="12" max="12" width="6.42578125" style="17" customWidth="1"/>
    <col min="13" max="14" width="12.85546875" style="17" bestFit="1" customWidth="1"/>
    <col min="15" max="15" width="9.140625" style="17"/>
    <col min="16" max="16" width="11.28515625" style="17" customWidth="1"/>
    <col min="17" max="17" width="13.28515625" style="17" customWidth="1"/>
    <col min="18" max="16384" width="9.140625" style="17"/>
  </cols>
  <sheetData>
    <row r="1" spans="2:43" x14ac:dyDescent="0.2">
      <c r="H1" s="140" t="s">
        <v>253</v>
      </c>
    </row>
    <row r="4" spans="2:43" x14ac:dyDescent="0.2">
      <c r="O4" s="129"/>
    </row>
    <row r="5" spans="2:43" ht="15.75" x14ac:dyDescent="0.25">
      <c r="B5" s="130">
        <v>12.06</v>
      </c>
      <c r="C5" s="311" t="s">
        <v>256</v>
      </c>
      <c r="D5" s="311"/>
      <c r="E5" s="311"/>
      <c r="F5" s="311"/>
      <c r="G5" s="311"/>
      <c r="H5" s="311"/>
      <c r="I5" s="311"/>
      <c r="J5" s="311"/>
    </row>
    <row r="7" spans="2:43" x14ac:dyDescent="0.2">
      <c r="J7" s="172" t="s">
        <v>106</v>
      </c>
    </row>
    <row r="8" spans="2:43" ht="25.5" x14ac:dyDescent="0.2">
      <c r="C8" s="173" t="s">
        <v>0</v>
      </c>
      <c r="D8" s="174" t="s">
        <v>17</v>
      </c>
      <c r="E8" s="173"/>
      <c r="F8" s="174" t="s">
        <v>18</v>
      </c>
      <c r="G8" s="173"/>
      <c r="H8" s="174" t="s">
        <v>19</v>
      </c>
      <c r="I8" s="173"/>
      <c r="J8" s="174" t="s">
        <v>18</v>
      </c>
    </row>
    <row r="9" spans="2:43" hidden="1" x14ac:dyDescent="0.2">
      <c r="C9" s="25"/>
      <c r="D9" s="25"/>
      <c r="E9" s="25"/>
      <c r="F9" s="25"/>
      <c r="G9" s="25"/>
      <c r="H9" s="25"/>
      <c r="I9" s="25"/>
      <c r="J9" s="25"/>
    </row>
    <row r="10" spans="2:43" hidden="1" x14ac:dyDescent="0.2">
      <c r="C10" s="175">
        <v>1976</v>
      </c>
      <c r="D10" s="179">
        <v>21997</v>
      </c>
      <c r="E10" s="179"/>
      <c r="F10" s="176"/>
      <c r="G10" s="25"/>
      <c r="H10" s="179">
        <v>22064</v>
      </c>
      <c r="I10" s="179"/>
      <c r="J10" s="25"/>
      <c r="AQ10" s="17">
        <v>4932.3999999999996</v>
      </c>
    </row>
    <row r="11" spans="2:43" hidden="1" x14ac:dyDescent="0.2">
      <c r="C11" s="175">
        <v>1977</v>
      </c>
      <c r="D11" s="179">
        <v>31487</v>
      </c>
      <c r="E11" s="179"/>
      <c r="F11" s="177">
        <f t="shared" ref="F11:F44" si="0">((D11/D10)-1)*100</f>
        <v>43.142246670000461</v>
      </c>
      <c r="G11" s="178"/>
      <c r="H11" s="179">
        <v>31133</v>
      </c>
      <c r="I11" s="179"/>
      <c r="J11" s="177">
        <f t="shared" ref="J11:J35" si="1">(H11/H10-1)*100</f>
        <v>41.103154459753455</v>
      </c>
      <c r="AQ11" s="17">
        <v>2281.6999999999998</v>
      </c>
    </row>
    <row r="12" spans="2:43" hidden="1" x14ac:dyDescent="0.2">
      <c r="C12" s="175">
        <v>1978</v>
      </c>
      <c r="D12" s="179">
        <v>49033</v>
      </c>
      <c r="E12" s="179"/>
      <c r="F12" s="177">
        <f t="shared" si="0"/>
        <v>55.724584749261609</v>
      </c>
      <c r="G12" s="178"/>
      <c r="H12" s="179">
        <v>48585</v>
      </c>
      <c r="I12" s="179"/>
      <c r="J12" s="177">
        <f t="shared" si="1"/>
        <v>56.05627469244854</v>
      </c>
      <c r="AQ12" s="17">
        <v>100.2</v>
      </c>
    </row>
    <row r="13" spans="2:43" hidden="1" x14ac:dyDescent="0.2">
      <c r="C13" s="175">
        <v>1979</v>
      </c>
      <c r="D13" s="179">
        <v>61811</v>
      </c>
      <c r="E13" s="179"/>
      <c r="F13" s="177">
        <f t="shared" si="0"/>
        <v>26.060000407888563</v>
      </c>
      <c r="G13" s="178"/>
      <c r="H13" s="179">
        <v>64648</v>
      </c>
      <c r="I13" s="179"/>
      <c r="J13" s="177">
        <f t="shared" si="1"/>
        <v>33.061644540496026</v>
      </c>
      <c r="AQ13" s="17">
        <v>2181.5</v>
      </c>
    </row>
    <row r="14" spans="2:43" hidden="1" x14ac:dyDescent="0.2">
      <c r="C14" s="175">
        <v>1980</v>
      </c>
      <c r="D14" s="179">
        <v>84527</v>
      </c>
      <c r="E14" s="179"/>
      <c r="F14" s="177">
        <f t="shared" si="0"/>
        <v>36.750740159518536</v>
      </c>
      <c r="G14" s="178"/>
      <c r="H14" s="179">
        <v>83401</v>
      </c>
      <c r="I14" s="179"/>
      <c r="J14" s="177">
        <f t="shared" si="1"/>
        <v>29.00785793837397</v>
      </c>
      <c r="AQ14" s="17">
        <v>2650.7</v>
      </c>
    </row>
    <row r="15" spans="2:43" hidden="1" x14ac:dyDescent="0.2">
      <c r="C15" s="175">
        <v>1981</v>
      </c>
      <c r="D15" s="179">
        <v>109572</v>
      </c>
      <c r="E15" s="179"/>
      <c r="F15" s="177">
        <f t="shared" si="0"/>
        <v>29.629585812817204</v>
      </c>
      <c r="G15" s="178"/>
      <c r="H15" s="179">
        <v>107919</v>
      </c>
      <c r="I15" s="179"/>
      <c r="J15" s="177">
        <f t="shared" si="1"/>
        <v>29.397729044016252</v>
      </c>
      <c r="AQ15" s="17">
        <v>2971.2</v>
      </c>
    </row>
    <row r="16" spans="2:43" hidden="1" x14ac:dyDescent="0.2">
      <c r="C16" s="175">
        <v>1982</v>
      </c>
      <c r="D16" s="179">
        <v>125958</v>
      </c>
      <c r="E16" s="179"/>
      <c r="F16" s="177">
        <f t="shared" si="0"/>
        <v>14.954550432592262</v>
      </c>
      <c r="G16" s="178"/>
      <c r="H16" s="179">
        <v>120069</v>
      </c>
      <c r="I16" s="179"/>
      <c r="J16" s="177">
        <f t="shared" si="1"/>
        <v>11.258443832874665</v>
      </c>
      <c r="AQ16" s="17">
        <v>243.6</v>
      </c>
    </row>
    <row r="17" spans="3:43" hidden="1" x14ac:dyDescent="0.2">
      <c r="C17" s="175">
        <v>1983</v>
      </c>
      <c r="D17" s="179">
        <v>131281</v>
      </c>
      <c r="E17" s="179"/>
      <c r="F17" s="177">
        <f t="shared" si="0"/>
        <v>4.2260118452182471</v>
      </c>
      <c r="G17" s="178"/>
      <c r="H17" s="179">
        <v>130448</v>
      </c>
      <c r="I17" s="179"/>
      <c r="J17" s="177">
        <f t="shared" si="1"/>
        <v>8.6441962538207129</v>
      </c>
      <c r="AQ17" s="17">
        <v>70.099999999999994</v>
      </c>
    </row>
    <row r="18" spans="3:43" hidden="1" x14ac:dyDescent="0.2">
      <c r="C18" s="175">
        <v>1984</v>
      </c>
      <c r="D18" s="179">
        <v>150626</v>
      </c>
      <c r="E18" s="179"/>
      <c r="F18" s="177">
        <f t="shared" si="0"/>
        <v>14.735567218409361</v>
      </c>
      <c r="G18" s="178"/>
      <c r="H18" s="179">
        <v>149418</v>
      </c>
      <c r="I18" s="179"/>
      <c r="J18" s="177">
        <f t="shared" si="1"/>
        <v>14.542193057770136</v>
      </c>
      <c r="AQ18" s="17">
        <v>2657.5</v>
      </c>
    </row>
    <row r="19" spans="3:43" hidden="1" x14ac:dyDescent="0.2">
      <c r="C19" s="175">
        <v>1985</v>
      </c>
      <c r="D19" s="179">
        <v>175592</v>
      </c>
      <c r="E19" s="179"/>
      <c r="F19" s="177">
        <f>((D19/D18)-1)*100</f>
        <v>16.574827718986107</v>
      </c>
      <c r="G19" s="178"/>
      <c r="H19" s="179">
        <v>172592</v>
      </c>
      <c r="I19" s="179"/>
      <c r="J19" s="177">
        <f>(H19/H18-1)*100</f>
        <v>15.509510233037528</v>
      </c>
      <c r="AQ19" s="17">
        <v>-320.5</v>
      </c>
    </row>
    <row r="20" spans="3:43" hidden="1" x14ac:dyDescent="0.2">
      <c r="C20" s="175">
        <v>1986</v>
      </c>
      <c r="D20" s="179">
        <v>202188</v>
      </c>
      <c r="E20" s="179"/>
      <c r="F20" s="177">
        <f t="shared" si="0"/>
        <v>15.146475921454282</v>
      </c>
      <c r="G20" s="178"/>
      <c r="H20" s="179">
        <v>193300</v>
      </c>
      <c r="I20" s="179"/>
      <c r="J20" s="177">
        <f t="shared" si="1"/>
        <v>11.998238620561796</v>
      </c>
    </row>
    <row r="21" spans="3:43" hidden="1" x14ac:dyDescent="0.2">
      <c r="C21" s="175">
        <v>1987</v>
      </c>
      <c r="D21" s="179">
        <v>249909</v>
      </c>
      <c r="E21" s="179"/>
      <c r="F21" s="177">
        <f t="shared" si="0"/>
        <v>23.602290937147608</v>
      </c>
      <c r="G21" s="178"/>
      <c r="H21" s="179">
        <v>243196</v>
      </c>
      <c r="I21" s="179"/>
      <c r="J21" s="177">
        <f t="shared" si="1"/>
        <v>25.812726332126235</v>
      </c>
      <c r="AQ21" s="17">
        <v>4932.3999999999996</v>
      </c>
    </row>
    <row r="22" spans="3:43" hidden="1" x14ac:dyDescent="0.2">
      <c r="C22" s="175">
        <v>1988</v>
      </c>
      <c r="D22" s="179">
        <v>281032</v>
      </c>
      <c r="E22" s="179"/>
      <c r="F22" s="177">
        <f t="shared" si="0"/>
        <v>12.45373315886984</v>
      </c>
      <c r="G22" s="178"/>
      <c r="H22" s="179">
        <v>246039</v>
      </c>
      <c r="I22" s="179"/>
      <c r="J22" s="177">
        <f t="shared" si="1"/>
        <v>1.1690159377621301</v>
      </c>
      <c r="AQ22" s="17">
        <v>1209.0999999999999</v>
      </c>
    </row>
    <row r="23" spans="3:43" hidden="1" x14ac:dyDescent="0.2">
      <c r="C23" s="175">
        <v>1989</v>
      </c>
      <c r="D23" s="179">
        <v>350637</v>
      </c>
      <c r="E23" s="179"/>
      <c r="F23" s="177">
        <f t="shared" si="0"/>
        <v>24.76764211904694</v>
      </c>
      <c r="G23" s="178"/>
      <c r="H23" s="179">
        <v>339822</v>
      </c>
      <c r="I23" s="179"/>
      <c r="J23" s="177">
        <f t="shared" si="1"/>
        <v>38.117127772426329</v>
      </c>
      <c r="AQ23" s="17">
        <v>95.5</v>
      </c>
    </row>
    <row r="24" spans="3:43" x14ac:dyDescent="0.2">
      <c r="C24" s="175"/>
      <c r="D24" s="179"/>
      <c r="E24" s="179"/>
      <c r="F24" s="177"/>
      <c r="G24" s="178"/>
      <c r="H24" s="179"/>
      <c r="I24" s="179"/>
      <c r="J24" s="177"/>
      <c r="AQ24" s="17">
        <v>1113.5999999999999</v>
      </c>
    </row>
    <row r="25" spans="3:43" x14ac:dyDescent="0.2">
      <c r="C25" s="175">
        <v>1990</v>
      </c>
      <c r="D25" s="179">
        <v>432781</v>
      </c>
      <c r="E25" s="179"/>
      <c r="F25" s="177">
        <f>((D25/D23)-1)*100</f>
        <v>23.427077005564168</v>
      </c>
      <c r="G25" s="178"/>
      <c r="H25" s="179">
        <v>430200</v>
      </c>
      <c r="I25" s="179"/>
      <c r="J25" s="177">
        <f>(H25/H23-1)*100</f>
        <v>26.595688330949741</v>
      </c>
      <c r="AQ25" s="17">
        <v>460.6</v>
      </c>
    </row>
    <row r="26" spans="3:43" x14ac:dyDescent="0.2">
      <c r="C26" s="175">
        <v>1991</v>
      </c>
      <c r="D26" s="179">
        <v>427105</v>
      </c>
      <c r="E26" s="179"/>
      <c r="F26" s="288">
        <f t="shared" si="0"/>
        <v>-1.3115178346554068</v>
      </c>
      <c r="G26" s="178"/>
      <c r="H26" s="179">
        <v>423504</v>
      </c>
      <c r="I26" s="179"/>
      <c r="J26" s="177">
        <f t="shared" si="1"/>
        <v>-1.5564853556485403</v>
      </c>
      <c r="AQ26" s="17">
        <v>653</v>
      </c>
    </row>
    <row r="27" spans="3:43" x14ac:dyDescent="0.2">
      <c r="C27" s="175">
        <v>1992</v>
      </c>
      <c r="D27" s="179">
        <v>411491</v>
      </c>
      <c r="E27" s="179"/>
      <c r="F27" s="177">
        <f t="shared" si="0"/>
        <v>-3.655775511876469</v>
      </c>
      <c r="G27" s="178"/>
      <c r="H27" s="179">
        <v>408157</v>
      </c>
      <c r="I27" s="179"/>
      <c r="J27" s="177">
        <f t="shared" si="1"/>
        <v>-3.623814651101287</v>
      </c>
      <c r="AQ27" s="17">
        <v>3723.3</v>
      </c>
    </row>
    <row r="28" spans="3:43" x14ac:dyDescent="0.2">
      <c r="C28" s="175">
        <v>1993</v>
      </c>
      <c r="D28" s="179">
        <v>407259</v>
      </c>
      <c r="E28" s="179"/>
      <c r="F28" s="177">
        <f t="shared" si="0"/>
        <v>-1.0284550573402607</v>
      </c>
      <c r="G28" s="178"/>
      <c r="H28" s="179">
        <v>403472</v>
      </c>
      <c r="I28" s="179"/>
      <c r="J28" s="177">
        <f t="shared" si="1"/>
        <v>-1.1478426193842095</v>
      </c>
      <c r="AQ28" s="17">
        <v>3382</v>
      </c>
    </row>
    <row r="29" spans="3:43" x14ac:dyDescent="0.2">
      <c r="C29" s="175">
        <v>1994</v>
      </c>
      <c r="D29" s="179">
        <v>460671</v>
      </c>
      <c r="E29" s="179"/>
      <c r="F29" s="177">
        <f t="shared" si="0"/>
        <v>13.114995617039771</v>
      </c>
      <c r="G29" s="178"/>
      <c r="H29" s="179">
        <v>455437</v>
      </c>
      <c r="I29" s="179"/>
      <c r="J29" s="177">
        <f t="shared" si="1"/>
        <v>12.879456319149774</v>
      </c>
    </row>
    <row r="30" spans="3:43" x14ac:dyDescent="0.2">
      <c r="C30" s="175"/>
      <c r="D30" s="179"/>
      <c r="E30" s="179"/>
      <c r="F30" s="177"/>
      <c r="G30" s="178"/>
      <c r="H30" s="179"/>
      <c r="I30" s="179"/>
      <c r="J30" s="177"/>
    </row>
    <row r="31" spans="3:43" x14ac:dyDescent="0.2">
      <c r="C31" s="175">
        <v>1995</v>
      </c>
      <c r="D31" s="179">
        <v>499702</v>
      </c>
      <c r="E31" s="179"/>
      <c r="F31" s="177">
        <f>((D31/D29)-1)*100</f>
        <v>8.4726409954175566</v>
      </c>
      <c r="G31" s="178"/>
      <c r="H31" s="179">
        <v>495000</v>
      </c>
      <c r="I31" s="179"/>
      <c r="J31" s="177">
        <f>(H31/H29-1)*100</f>
        <v>8.6868216679804267</v>
      </c>
    </row>
    <row r="32" spans="3:43" x14ac:dyDescent="0.2">
      <c r="C32" s="175">
        <v>1996</v>
      </c>
      <c r="D32" s="179">
        <v>497624</v>
      </c>
      <c r="E32" s="179"/>
      <c r="F32" s="177">
        <f t="shared" si="0"/>
        <v>-0.41584784531580876</v>
      </c>
      <c r="G32" s="178"/>
      <c r="H32" s="179">
        <v>492993</v>
      </c>
      <c r="I32" s="179"/>
      <c r="J32" s="177">
        <f t="shared" si="1"/>
        <v>-0.40545454545454218</v>
      </c>
    </row>
    <row r="33" spans="2:21" x14ac:dyDescent="0.2">
      <c r="C33" s="175">
        <v>1997</v>
      </c>
      <c r="D33" s="179">
        <v>641663</v>
      </c>
      <c r="E33" s="179"/>
      <c r="F33" s="177">
        <f t="shared" si="0"/>
        <v>28.945348295098317</v>
      </c>
      <c r="G33" s="178"/>
      <c r="H33" s="179">
        <v>635289</v>
      </c>
      <c r="I33" s="179"/>
      <c r="J33" s="177">
        <f t="shared" si="1"/>
        <v>28.863695833409398</v>
      </c>
    </row>
    <row r="34" spans="2:21" x14ac:dyDescent="0.2">
      <c r="C34" s="175">
        <v>1998</v>
      </c>
      <c r="D34" s="179">
        <v>622771</v>
      </c>
      <c r="E34" s="179"/>
      <c r="F34" s="177">
        <f t="shared" si="0"/>
        <v>-2.9442246163484564</v>
      </c>
      <c r="G34" s="178"/>
      <c r="H34" s="179">
        <v>607214</v>
      </c>
      <c r="I34" s="179"/>
      <c r="J34" s="177">
        <f t="shared" si="1"/>
        <v>-4.4192485624652722</v>
      </c>
    </row>
    <row r="35" spans="2:21" x14ac:dyDescent="0.2">
      <c r="C35" s="175">
        <v>1999</v>
      </c>
      <c r="D35" s="179">
        <v>578422</v>
      </c>
      <c r="E35" s="179"/>
      <c r="F35" s="177">
        <f t="shared" si="0"/>
        <v>-7.1212371802797492</v>
      </c>
      <c r="G35" s="178"/>
      <c r="H35" s="179">
        <v>628817</v>
      </c>
      <c r="I35" s="179"/>
      <c r="J35" s="177">
        <f t="shared" si="1"/>
        <v>3.5577242948943821</v>
      </c>
      <c r="O35" s="161"/>
      <c r="P35" s="129"/>
      <c r="Q35" s="129"/>
      <c r="R35" s="129"/>
      <c r="S35" s="129"/>
      <c r="T35" s="161"/>
      <c r="U35" s="161"/>
    </row>
    <row r="36" spans="2:21" x14ac:dyDescent="0.2">
      <c r="C36" s="175"/>
      <c r="D36" s="179"/>
      <c r="E36" s="179"/>
      <c r="F36" s="177"/>
      <c r="G36" s="178"/>
      <c r="H36" s="179"/>
      <c r="I36" s="179"/>
      <c r="J36" s="177"/>
      <c r="O36" s="161"/>
      <c r="P36" s="129"/>
      <c r="Q36" s="129"/>
      <c r="R36" s="129"/>
      <c r="S36" s="129"/>
      <c r="T36" s="161"/>
      <c r="U36" s="161"/>
    </row>
    <row r="37" spans="2:21" s="25" customFormat="1" x14ac:dyDescent="0.2">
      <c r="C37" s="175">
        <v>2000</v>
      </c>
      <c r="D37" s="179">
        <v>781546</v>
      </c>
      <c r="F37" s="177">
        <f>((D37/D35)-1)*100</f>
        <v>35.11692155554249</v>
      </c>
      <c r="H37" s="179">
        <v>766935</v>
      </c>
      <c r="J37" s="177">
        <f>(H37/H35-1)*100</f>
        <v>21.964736958447361</v>
      </c>
      <c r="O37" s="162"/>
      <c r="P37" s="212" t="str">
        <f>D8</f>
        <v>Assets</v>
      </c>
      <c r="Q37" s="212" t="str">
        <f>H8</f>
        <v>Liabilities</v>
      </c>
      <c r="R37" s="122"/>
      <c r="S37" s="122"/>
      <c r="T37" s="162"/>
      <c r="U37" s="162"/>
    </row>
    <row r="38" spans="2:21" x14ac:dyDescent="0.2">
      <c r="B38" s="25"/>
      <c r="C38" s="175">
        <v>2001</v>
      </c>
      <c r="D38" s="179">
        <v>848511</v>
      </c>
      <c r="E38" s="25"/>
      <c r="F38" s="177">
        <f t="shared" si="0"/>
        <v>8.5682736524785419</v>
      </c>
      <c r="G38" s="25"/>
      <c r="H38" s="179">
        <v>828096</v>
      </c>
      <c r="I38" s="25"/>
      <c r="J38" s="177">
        <f>(H38/H37-1)*100</f>
        <v>7.9747305834262372</v>
      </c>
      <c r="K38" s="25"/>
      <c r="L38" s="25"/>
      <c r="O38" s="161"/>
      <c r="P38" s="129"/>
      <c r="Q38" s="129"/>
      <c r="R38" s="129"/>
      <c r="S38" s="129"/>
      <c r="T38" s="161"/>
      <c r="U38" s="161"/>
    </row>
    <row r="39" spans="2:21" x14ac:dyDescent="0.2">
      <c r="B39" s="25"/>
      <c r="C39" s="175">
        <v>2002</v>
      </c>
      <c r="D39" s="179">
        <v>1037031</v>
      </c>
      <c r="E39" s="25"/>
      <c r="F39" s="177">
        <f t="shared" si="0"/>
        <v>22.217743788825373</v>
      </c>
      <c r="G39" s="25"/>
      <c r="H39" s="179">
        <v>1020989</v>
      </c>
      <c r="I39" s="25"/>
      <c r="J39" s="177">
        <f>(H39/H38-1)*100</f>
        <v>23.293555336579331</v>
      </c>
      <c r="K39" s="25"/>
      <c r="L39" s="25"/>
      <c r="O39" s="161"/>
      <c r="P39" s="129"/>
      <c r="Q39" s="129"/>
      <c r="R39" s="129"/>
      <c r="S39" s="129"/>
      <c r="T39" s="161"/>
      <c r="U39" s="161"/>
    </row>
    <row r="40" spans="2:21" x14ac:dyDescent="0.2">
      <c r="B40" s="25"/>
      <c r="C40" s="175">
        <v>2003</v>
      </c>
      <c r="D40" s="179">
        <v>1038900</v>
      </c>
      <c r="E40" s="25"/>
      <c r="F40" s="177">
        <f t="shared" si="0"/>
        <v>0.18022604917307117</v>
      </c>
      <c r="G40" s="25"/>
      <c r="H40" s="179">
        <v>996800</v>
      </c>
      <c r="I40" s="25"/>
      <c r="J40" s="177">
        <f>(H40/H39-1)*100</f>
        <v>-2.369173419106374</v>
      </c>
      <c r="K40" s="25"/>
      <c r="L40" s="25"/>
      <c r="O40" s="161"/>
      <c r="P40" s="129"/>
      <c r="Q40" s="129"/>
      <c r="R40" s="129"/>
      <c r="S40" s="129"/>
      <c r="T40" s="161"/>
      <c r="U40" s="161"/>
    </row>
    <row r="41" spans="2:21" x14ac:dyDescent="0.2">
      <c r="B41" s="25"/>
      <c r="C41" s="175">
        <v>2004</v>
      </c>
      <c r="D41" s="179">
        <f>(964.7*1000000000)/1000000</f>
        <v>964700</v>
      </c>
      <c r="E41" s="25"/>
      <c r="F41" s="177">
        <f t="shared" si="0"/>
        <v>-7.1421696024641435</v>
      </c>
      <c r="G41" s="25"/>
      <c r="H41" s="179">
        <v>923200</v>
      </c>
      <c r="I41" s="25"/>
      <c r="J41" s="177">
        <f>(H41/H40-1)*100</f>
        <v>-7.3836276083467105</v>
      </c>
      <c r="K41" s="25"/>
      <c r="L41" s="25"/>
      <c r="O41" s="161"/>
      <c r="P41" s="129"/>
      <c r="Q41" s="129"/>
      <c r="R41" s="129"/>
      <c r="S41" s="129"/>
      <c r="T41" s="161"/>
      <c r="U41" s="161"/>
    </row>
    <row r="42" spans="2:21" x14ac:dyDescent="0.2">
      <c r="B42" s="25"/>
      <c r="C42" s="175"/>
      <c r="D42" s="179"/>
      <c r="E42" s="25"/>
      <c r="F42" s="177"/>
      <c r="G42" s="25"/>
      <c r="H42" s="179"/>
      <c r="I42" s="25"/>
      <c r="J42" s="177"/>
      <c r="K42" s="25"/>
      <c r="L42" s="25"/>
      <c r="O42" s="161"/>
      <c r="P42" s="129"/>
      <c r="Q42" s="129"/>
      <c r="R42" s="129"/>
      <c r="S42" s="129"/>
      <c r="T42" s="161"/>
      <c r="U42" s="161"/>
    </row>
    <row r="43" spans="2:21" x14ac:dyDescent="0.2">
      <c r="B43" s="25"/>
      <c r="C43" s="175">
        <v>2005</v>
      </c>
      <c r="D43" s="179">
        <f>(1216.1*1000000000)/1000000</f>
        <v>1216100</v>
      </c>
      <c r="E43" s="25"/>
      <c r="F43" s="177">
        <f>((D43/D41)-1)*100</f>
        <v>26.059914999481705</v>
      </c>
      <c r="G43" s="25"/>
      <c r="H43" s="179">
        <v>1162400</v>
      </c>
      <c r="I43" s="25"/>
      <c r="J43" s="177">
        <f>(H43/H41-1)*100</f>
        <v>25.90987868284229</v>
      </c>
      <c r="K43" s="25"/>
      <c r="L43" s="25"/>
      <c r="O43" s="161"/>
      <c r="P43" s="129"/>
      <c r="Q43" s="129"/>
      <c r="R43" s="129"/>
      <c r="S43" s="129"/>
      <c r="T43" s="161"/>
      <c r="U43" s="161"/>
    </row>
    <row r="44" spans="2:21" x14ac:dyDescent="0.2">
      <c r="B44" s="25"/>
      <c r="C44" s="175">
        <v>2006</v>
      </c>
      <c r="D44" s="179">
        <v>1607900</v>
      </c>
      <c r="E44" s="25"/>
      <c r="F44" s="177">
        <f t="shared" si="0"/>
        <v>32.217745251212904</v>
      </c>
      <c r="G44" s="25"/>
      <c r="H44" s="179">
        <v>1598000</v>
      </c>
      <c r="I44" s="25"/>
      <c r="J44" s="177">
        <f>(H44/H43-1)*100</f>
        <v>37.474191328286309</v>
      </c>
      <c r="K44" s="25"/>
      <c r="L44" s="25"/>
      <c r="O44" s="161"/>
      <c r="P44" s="129"/>
      <c r="Q44" s="129"/>
      <c r="R44" s="129"/>
      <c r="S44" s="129"/>
      <c r="T44" s="161"/>
      <c r="U44" s="161"/>
    </row>
    <row r="45" spans="2:21" x14ac:dyDescent="0.2">
      <c r="B45" s="25"/>
      <c r="C45" s="175">
        <v>2007</v>
      </c>
      <c r="D45" s="179">
        <v>1873600</v>
      </c>
      <c r="E45" s="25"/>
      <c r="F45" s="177">
        <f>((D45/D44)-1)*100</f>
        <v>16.524659493749617</v>
      </c>
      <c r="G45" s="25"/>
      <c r="H45" s="179">
        <v>1856500</v>
      </c>
      <c r="I45" s="25"/>
      <c r="J45" s="177">
        <f>(H45/H44-1)*100</f>
        <v>16.176470588235304</v>
      </c>
      <c r="K45" s="25"/>
      <c r="L45" s="25"/>
      <c r="O45" s="161"/>
      <c r="P45" s="129"/>
      <c r="Q45" s="129"/>
      <c r="R45" s="129"/>
      <c r="S45" s="129"/>
      <c r="T45" s="161"/>
      <c r="U45" s="161"/>
    </row>
    <row r="46" spans="2:21" x14ac:dyDescent="0.2">
      <c r="B46" s="25"/>
      <c r="C46" s="175">
        <v>2008</v>
      </c>
      <c r="D46" s="179">
        <v>1799164</v>
      </c>
      <c r="E46" s="25"/>
      <c r="F46" s="177">
        <f>((D46/D45)-1)*100</f>
        <v>-3.9728864218616544</v>
      </c>
      <c r="G46" s="25"/>
      <c r="H46" s="179">
        <v>1803289</v>
      </c>
      <c r="I46" s="25"/>
      <c r="J46" s="177">
        <f>((H46/H45)-1)*100</f>
        <v>-2.8661998384056031</v>
      </c>
      <c r="K46" s="25"/>
      <c r="L46" s="25"/>
      <c r="O46" s="161"/>
      <c r="P46" s="129"/>
      <c r="Q46" s="129"/>
      <c r="R46" s="129"/>
      <c r="S46" s="129"/>
      <c r="T46" s="161"/>
      <c r="U46" s="161"/>
    </row>
    <row r="47" spans="2:21" ht="14.25" x14ac:dyDescent="0.2">
      <c r="B47" s="25"/>
      <c r="C47" s="184">
        <v>2009</v>
      </c>
      <c r="D47" s="179">
        <v>1755868</v>
      </c>
      <c r="E47" s="252"/>
      <c r="F47" s="177">
        <f>((D47/D46)-1)*100</f>
        <v>-2.4064509961293168</v>
      </c>
      <c r="G47" s="25"/>
      <c r="H47" s="179">
        <v>1771100</v>
      </c>
      <c r="I47" s="252"/>
      <c r="J47" s="177">
        <f>((H47/H46)-1)*100</f>
        <v>-1.7850161565894362</v>
      </c>
      <c r="K47" s="25"/>
      <c r="L47" s="25"/>
      <c r="O47" s="161"/>
      <c r="P47" s="129"/>
      <c r="Q47" s="129"/>
      <c r="R47" s="129"/>
      <c r="S47" s="129"/>
      <c r="T47" s="161"/>
      <c r="U47" s="161"/>
    </row>
    <row r="48" spans="2:21" ht="14.25" x14ac:dyDescent="0.2">
      <c r="B48" s="25"/>
      <c r="C48" s="184"/>
      <c r="D48" s="179"/>
      <c r="E48" s="252"/>
      <c r="F48" s="177"/>
      <c r="G48" s="25"/>
      <c r="H48" s="179"/>
      <c r="I48" s="252"/>
      <c r="J48" s="177"/>
      <c r="K48" s="25"/>
      <c r="L48" s="25"/>
      <c r="O48" s="161"/>
      <c r="P48" s="129"/>
      <c r="Q48" s="129"/>
      <c r="R48" s="129"/>
      <c r="S48" s="129"/>
      <c r="T48" s="161"/>
      <c r="U48" s="161"/>
    </row>
    <row r="49" spans="2:21" ht="14.25" x14ac:dyDescent="0.2">
      <c r="B49" s="25"/>
      <c r="C49" s="184">
        <v>2010</v>
      </c>
      <c r="D49" s="179">
        <v>1761661</v>
      </c>
      <c r="E49" s="252"/>
      <c r="F49" s="177">
        <f>((D49/D47)-1)*100</f>
        <v>0.32992229484221092</v>
      </c>
      <c r="G49" s="25"/>
      <c r="H49" s="179">
        <v>1795880</v>
      </c>
      <c r="I49" s="252"/>
      <c r="J49" s="177">
        <f>((H49/H47)-1)*100</f>
        <v>1.3991304838800733</v>
      </c>
      <c r="K49" s="25"/>
      <c r="L49" s="25"/>
      <c r="O49" s="161"/>
      <c r="P49" s="129"/>
      <c r="Q49" s="129"/>
      <c r="R49" s="129"/>
      <c r="S49" s="129"/>
      <c r="T49" s="161"/>
      <c r="U49" s="161"/>
    </row>
    <row r="50" spans="2:21" ht="13.5" customHeight="1" x14ac:dyDescent="0.2">
      <c r="B50" s="25"/>
      <c r="C50" s="184">
        <v>2011</v>
      </c>
      <c r="D50" s="179">
        <v>1543735</v>
      </c>
      <c r="E50" s="25"/>
      <c r="F50" s="177">
        <f>((D50/D49)-1)*100</f>
        <v>-12.370484446212981</v>
      </c>
      <c r="G50" s="25"/>
      <c r="H50" s="179">
        <v>1584592</v>
      </c>
      <c r="I50" s="25"/>
      <c r="J50" s="177">
        <f>((H50/H49)-1)*100</f>
        <v>-11.765151346415125</v>
      </c>
      <c r="K50" s="25"/>
      <c r="L50" s="25"/>
      <c r="O50" s="161"/>
      <c r="P50" s="129"/>
      <c r="Q50" s="129"/>
      <c r="R50" s="129"/>
      <c r="S50" s="129"/>
      <c r="T50" s="161"/>
      <c r="U50" s="161"/>
    </row>
    <row r="51" spans="2:21" ht="13.5" customHeight="1" x14ac:dyDescent="0.2">
      <c r="B51" s="25"/>
      <c r="C51" s="184">
        <v>2012</v>
      </c>
      <c r="D51" s="179">
        <v>1409321</v>
      </c>
      <c r="E51" s="25"/>
      <c r="F51" s="177">
        <f t="shared" ref="F51:F58" si="2">D51/D50*100-100</f>
        <v>-8.7070643601395261</v>
      </c>
      <c r="G51" s="25"/>
      <c r="H51" s="179">
        <v>1434218</v>
      </c>
      <c r="I51" s="25"/>
      <c r="J51" s="177">
        <f t="shared" ref="J51:J58" si="3">H51/H50*100-100</f>
        <v>-9.4897614023041825</v>
      </c>
      <c r="K51" s="25"/>
      <c r="L51" s="25"/>
      <c r="O51" s="161"/>
      <c r="P51" s="129"/>
      <c r="Q51" s="129"/>
      <c r="R51" s="129"/>
      <c r="S51" s="129"/>
      <c r="T51" s="161"/>
      <c r="U51" s="161"/>
    </row>
    <row r="52" spans="2:21" x14ac:dyDescent="0.2">
      <c r="B52" s="131"/>
      <c r="C52" s="184">
        <v>2013</v>
      </c>
      <c r="D52" s="179">
        <v>1377200</v>
      </c>
      <c r="E52" s="25"/>
      <c r="F52" s="177">
        <f t="shared" si="2"/>
        <v>-2.2791826702362386</v>
      </c>
      <c r="G52" s="25"/>
      <c r="H52" s="179">
        <v>1366800</v>
      </c>
      <c r="I52" s="25"/>
      <c r="J52" s="177">
        <f t="shared" si="3"/>
        <v>-4.7006800918688754</v>
      </c>
      <c r="K52" s="25"/>
      <c r="L52" s="25"/>
      <c r="O52" s="161"/>
      <c r="P52" s="163"/>
      <c r="Q52" s="163"/>
      <c r="R52" s="129"/>
      <c r="S52" s="129"/>
      <c r="T52" s="161"/>
      <c r="U52" s="161"/>
    </row>
    <row r="53" spans="2:21" x14ac:dyDescent="0.2">
      <c r="B53" s="131"/>
      <c r="C53" s="184">
        <v>2014</v>
      </c>
      <c r="D53" s="179">
        <v>1423029</v>
      </c>
      <c r="E53" s="25"/>
      <c r="F53" s="177">
        <f t="shared" si="2"/>
        <v>3.3276938716235946</v>
      </c>
      <c r="G53" s="25"/>
      <c r="H53" s="179">
        <v>1443356</v>
      </c>
      <c r="I53" s="25"/>
      <c r="J53" s="177">
        <f t="shared" si="3"/>
        <v>5.6011120866257045</v>
      </c>
      <c r="K53" s="25"/>
      <c r="L53" s="25"/>
      <c r="O53" s="161"/>
      <c r="P53" s="163"/>
      <c r="Q53" s="163"/>
      <c r="R53" s="129"/>
      <c r="S53" s="129"/>
      <c r="T53" s="161"/>
      <c r="U53" s="161"/>
    </row>
    <row r="54" spans="2:21" x14ac:dyDescent="0.2">
      <c r="B54" s="131"/>
      <c r="C54" s="184"/>
      <c r="D54" s="179"/>
      <c r="E54" s="25"/>
      <c r="F54" s="177"/>
      <c r="G54" s="25"/>
      <c r="H54" s="179"/>
      <c r="I54" s="25"/>
      <c r="J54" s="177"/>
      <c r="K54" s="25"/>
      <c r="L54" s="25"/>
      <c r="O54" s="161"/>
      <c r="P54" s="163"/>
      <c r="Q54" s="163"/>
      <c r="R54" s="129"/>
      <c r="S54" s="129"/>
      <c r="T54" s="161"/>
      <c r="U54" s="161"/>
    </row>
    <row r="55" spans="2:21" x14ac:dyDescent="0.2">
      <c r="B55" s="131"/>
      <c r="C55" s="184">
        <v>2015</v>
      </c>
      <c r="D55" s="179">
        <v>1377000</v>
      </c>
      <c r="E55" s="25"/>
      <c r="F55" s="177">
        <f>D55/D53*100-100</f>
        <v>-3.2345791969102464</v>
      </c>
      <c r="G55" s="25"/>
      <c r="H55" s="179">
        <v>1380000</v>
      </c>
      <c r="I55" s="25"/>
      <c r="J55" s="177">
        <f>H55/H53*100-100</f>
        <v>-4.38949226663415</v>
      </c>
      <c r="K55" s="25"/>
      <c r="L55" s="25"/>
      <c r="O55" s="127"/>
      <c r="P55" s="128"/>
      <c r="Q55" s="128"/>
      <c r="R55" s="127"/>
    </row>
    <row r="56" spans="2:21" x14ac:dyDescent="0.2">
      <c r="B56" s="131"/>
      <c r="C56" s="184">
        <v>2016</v>
      </c>
      <c r="D56" s="179">
        <v>1015623</v>
      </c>
      <c r="E56" s="25"/>
      <c r="F56" s="177">
        <f t="shared" si="2"/>
        <v>-26.243790849673204</v>
      </c>
      <c r="G56" s="25"/>
      <c r="H56" s="179">
        <v>985470</v>
      </c>
      <c r="I56" s="25"/>
      <c r="J56" s="177">
        <f t="shared" si="3"/>
        <v>-28.589130434782604</v>
      </c>
      <c r="K56" s="25"/>
      <c r="L56" s="25"/>
      <c r="O56" s="127"/>
      <c r="P56" s="128"/>
      <c r="Q56" s="128"/>
      <c r="R56" s="127"/>
    </row>
    <row r="57" spans="2:21" x14ac:dyDescent="0.2">
      <c r="B57" s="131"/>
      <c r="C57" s="184">
        <v>2017</v>
      </c>
      <c r="D57" s="179">
        <v>914692</v>
      </c>
      <c r="E57" s="25"/>
      <c r="F57" s="177">
        <f>D57/D56*100-100</f>
        <v>-9.9378411083640259</v>
      </c>
      <c r="G57" s="25"/>
      <c r="H57" s="179">
        <v>874427</v>
      </c>
      <c r="I57" s="25"/>
      <c r="J57" s="177">
        <f t="shared" si="3"/>
        <v>-11.268024394451388</v>
      </c>
      <c r="K57" s="25"/>
      <c r="L57" s="25"/>
      <c r="O57" s="127"/>
      <c r="P57" s="128"/>
      <c r="Q57" s="128"/>
      <c r="R57" s="127"/>
    </row>
    <row r="58" spans="2:21" x14ac:dyDescent="0.2">
      <c r="B58" s="131"/>
      <c r="C58" s="184">
        <v>2018</v>
      </c>
      <c r="D58" s="179">
        <v>652463</v>
      </c>
      <c r="E58" s="25"/>
      <c r="F58" s="177">
        <f t="shared" si="2"/>
        <v>-28.668557284856547</v>
      </c>
      <c r="G58" s="25"/>
      <c r="H58" s="179">
        <v>622186</v>
      </c>
      <c r="I58" s="25"/>
      <c r="J58" s="177">
        <f t="shared" si="3"/>
        <v>-28.846433149937042</v>
      </c>
      <c r="K58" s="25"/>
      <c r="L58" s="25"/>
      <c r="O58" s="127"/>
      <c r="P58" s="128"/>
      <c r="Q58" s="128"/>
      <c r="R58" s="127"/>
    </row>
    <row r="59" spans="2:21" x14ac:dyDescent="0.2">
      <c r="B59" s="25"/>
      <c r="C59" s="184">
        <v>2019</v>
      </c>
      <c r="D59" s="179">
        <v>639524</v>
      </c>
      <c r="E59" s="25"/>
      <c r="F59" s="177">
        <f>D59/D58*100-100</f>
        <v>-1.9831009574489258</v>
      </c>
      <c r="G59" s="25"/>
      <c r="H59" s="179">
        <v>609685</v>
      </c>
      <c r="I59" s="25"/>
      <c r="J59" s="177">
        <f>H59/H58*100-100</f>
        <v>-2.0092062502209984</v>
      </c>
      <c r="K59" s="25"/>
      <c r="L59" s="25"/>
    </row>
    <row r="60" spans="2:21" x14ac:dyDescent="0.2">
      <c r="B60" s="25"/>
      <c r="C60" s="184"/>
      <c r="D60" s="179"/>
      <c r="E60" s="25"/>
      <c r="F60" s="177"/>
      <c r="G60" s="25"/>
      <c r="H60" s="179"/>
      <c r="I60" s="25"/>
      <c r="J60" s="177"/>
      <c r="K60" s="25"/>
      <c r="L60" s="25"/>
    </row>
    <row r="61" spans="2:21" x14ac:dyDescent="0.2">
      <c r="B61" s="25"/>
      <c r="C61" s="184">
        <v>2020</v>
      </c>
      <c r="D61" s="179">
        <v>578970</v>
      </c>
      <c r="E61" s="25"/>
      <c r="F61" s="177">
        <v>-9.5</v>
      </c>
      <c r="G61" s="25"/>
      <c r="H61" s="179">
        <v>537752</v>
      </c>
      <c r="I61" s="25"/>
      <c r="J61" s="177">
        <v>11.8</v>
      </c>
      <c r="K61" s="25"/>
      <c r="L61" s="25"/>
    </row>
    <row r="62" spans="2:21" x14ac:dyDescent="0.2">
      <c r="B62" s="25"/>
      <c r="C62" s="184">
        <v>2021</v>
      </c>
      <c r="D62" s="179">
        <v>502979</v>
      </c>
      <c r="E62" s="25"/>
      <c r="F62" s="177">
        <f>D62/D61*100-100</f>
        <v>-13.125205105618605</v>
      </c>
      <c r="G62" s="25"/>
      <c r="H62" s="179">
        <v>470799</v>
      </c>
      <c r="I62" s="25"/>
      <c r="J62" s="177">
        <f>H62/H61*100-100</f>
        <v>-12.450534819024384</v>
      </c>
      <c r="K62" s="25"/>
      <c r="L62" s="25"/>
    </row>
    <row r="63" spans="2:21" x14ac:dyDescent="0.2">
      <c r="B63" s="25"/>
      <c r="C63" s="184">
        <v>2022</v>
      </c>
      <c r="D63" s="179">
        <v>472544</v>
      </c>
      <c r="E63" s="25"/>
      <c r="F63" s="177">
        <f>D63/D62*100-100</f>
        <v>-6.0509484491400229</v>
      </c>
      <c r="G63" s="25"/>
      <c r="H63" s="179">
        <v>424293</v>
      </c>
      <c r="I63" s="25"/>
      <c r="J63" s="177">
        <f>H63/H62*100-100</f>
        <v>-9.8781008455837878</v>
      </c>
      <c r="K63" s="25"/>
      <c r="L63" s="25"/>
    </row>
    <row r="64" spans="2:21" x14ac:dyDescent="0.2">
      <c r="B64" s="25"/>
      <c r="C64" s="289">
        <v>2023</v>
      </c>
      <c r="D64" s="180">
        <v>368896</v>
      </c>
      <c r="E64" s="132"/>
      <c r="F64" s="177">
        <f>D64/D63*100-100</f>
        <v>-21.93404212094535</v>
      </c>
      <c r="G64" s="132"/>
      <c r="H64" s="180">
        <v>331702</v>
      </c>
      <c r="I64" s="132"/>
      <c r="J64" s="181">
        <f>H64/H63*100-100</f>
        <v>-21.822419884372351</v>
      </c>
      <c r="K64" s="25"/>
      <c r="L64" s="25"/>
    </row>
    <row r="65" spans="2:12" x14ac:dyDescent="0.2">
      <c r="B65" s="25"/>
      <c r="E65" s="25"/>
      <c r="F65" s="290"/>
      <c r="G65" s="25"/>
      <c r="H65" s="25"/>
      <c r="I65" s="25"/>
      <c r="J65" s="25"/>
      <c r="K65" s="25"/>
      <c r="L65" s="25"/>
    </row>
    <row r="66" spans="2:12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</row>
    <row r="67" spans="2:12" x14ac:dyDescent="0.2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</row>
    <row r="68" spans="2:12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</row>
    <row r="69" spans="2:12" x14ac:dyDescent="0.2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</row>
    <row r="70" spans="2:12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</row>
    <row r="71" spans="2:12" x14ac:dyDescent="0.2"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</row>
    <row r="72" spans="2:12" x14ac:dyDescent="0.2"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</row>
    <row r="73" spans="2:12" x14ac:dyDescent="0.2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</row>
    <row r="74" spans="2:12" x14ac:dyDescent="0.2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</row>
    <row r="75" spans="2:12" x14ac:dyDescent="0.2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</row>
    <row r="76" spans="2:12" x14ac:dyDescent="0.2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</row>
    <row r="77" spans="2:12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</row>
    <row r="78" spans="2:12" x14ac:dyDescent="0.2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</row>
    <row r="79" spans="2:12" x14ac:dyDescent="0.2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</row>
    <row r="80" spans="2:12" x14ac:dyDescent="0.2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</row>
    <row r="81" spans="2:18" x14ac:dyDescent="0.2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</row>
    <row r="82" spans="2:18" x14ac:dyDescent="0.2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</row>
    <row r="83" spans="2:18" x14ac:dyDescent="0.2">
      <c r="B83" s="25"/>
      <c r="D83" s="25"/>
      <c r="E83" s="25"/>
      <c r="F83" s="25"/>
      <c r="G83" s="25"/>
      <c r="H83" s="25"/>
      <c r="I83" s="25"/>
      <c r="J83" s="25"/>
    </row>
    <row r="84" spans="2:18" x14ac:dyDescent="0.2">
      <c r="B84" s="25"/>
      <c r="C84" s="48"/>
      <c r="D84" s="25"/>
      <c r="E84" s="25"/>
      <c r="F84" s="25"/>
      <c r="G84" s="25"/>
      <c r="H84" s="25"/>
      <c r="I84" s="25"/>
      <c r="J84" s="25"/>
    </row>
    <row r="85" spans="2:18" x14ac:dyDescent="0.2">
      <c r="B85" s="25"/>
      <c r="C85" s="48"/>
      <c r="D85" s="25"/>
      <c r="E85" s="25"/>
      <c r="F85" s="25"/>
      <c r="G85" s="25"/>
      <c r="H85" s="25"/>
      <c r="I85" s="25"/>
      <c r="J85" s="25"/>
    </row>
    <row r="86" spans="2:18" x14ac:dyDescent="0.2">
      <c r="B86" s="25"/>
      <c r="C86" s="133" t="s">
        <v>250</v>
      </c>
      <c r="D86" s="25"/>
      <c r="E86" s="25"/>
      <c r="F86" s="25"/>
      <c r="G86" s="25"/>
      <c r="H86" s="25"/>
      <c r="I86" s="25"/>
      <c r="J86" s="25"/>
    </row>
    <row r="87" spans="2:18" x14ac:dyDescent="0.2">
      <c r="B87" s="25"/>
      <c r="C87" s="133"/>
      <c r="D87" s="25"/>
      <c r="E87" s="25"/>
      <c r="F87" s="25"/>
      <c r="G87" s="25"/>
      <c r="H87" s="25"/>
      <c r="I87" s="25"/>
      <c r="J87" s="25"/>
    </row>
    <row r="88" spans="2:18" x14ac:dyDescent="0.2">
      <c r="B88" s="25"/>
      <c r="C88" s="223"/>
      <c r="D88" s="223"/>
      <c r="E88" s="223"/>
      <c r="F88" s="223"/>
      <c r="G88" s="223"/>
      <c r="H88" s="223"/>
      <c r="I88" s="223"/>
      <c r="J88" s="223"/>
      <c r="K88" s="223"/>
    </row>
    <row r="89" spans="2:18" x14ac:dyDescent="0.2">
      <c r="B89" s="25"/>
      <c r="C89" s="223"/>
      <c r="D89" s="223"/>
      <c r="E89" s="223"/>
      <c r="F89" s="223"/>
      <c r="G89" s="223"/>
      <c r="H89" s="223"/>
      <c r="I89" s="223"/>
      <c r="J89" s="223"/>
      <c r="K89" s="223"/>
    </row>
    <row r="90" spans="2:18" x14ac:dyDescent="0.2">
      <c r="B90" s="25"/>
      <c r="D90" s="25"/>
      <c r="E90" s="25"/>
      <c r="F90" s="25"/>
      <c r="G90" s="25"/>
      <c r="H90" s="25"/>
      <c r="I90" s="25"/>
      <c r="J90" s="25"/>
    </row>
    <row r="91" spans="2:18" ht="14.25" customHeight="1" x14ac:dyDescent="0.2">
      <c r="C91" s="135"/>
      <c r="D91" s="139"/>
      <c r="E91" s="135"/>
      <c r="F91" s="158"/>
    </row>
    <row r="92" spans="2:18" x14ac:dyDescent="0.2">
      <c r="B92" s="222"/>
      <c r="C92" s="135"/>
      <c r="D92" s="139"/>
      <c r="E92" s="135"/>
      <c r="F92" s="139"/>
      <c r="G92" s="222"/>
      <c r="H92" s="222"/>
      <c r="I92" s="222"/>
      <c r="J92" s="222"/>
      <c r="K92" s="222"/>
      <c r="L92" s="222"/>
      <c r="M92" s="134"/>
      <c r="O92" s="127"/>
      <c r="P92" s="127"/>
      <c r="Q92" s="127"/>
      <c r="R92" s="127"/>
    </row>
    <row r="93" spans="2:18" x14ac:dyDescent="0.2">
      <c r="C93" s="135"/>
      <c r="D93" s="139"/>
      <c r="E93" s="135"/>
      <c r="F93" s="139"/>
    </row>
    <row r="94" spans="2:18" x14ac:dyDescent="0.2">
      <c r="C94" s="135"/>
      <c r="D94" s="139"/>
      <c r="E94" s="135"/>
      <c r="F94" s="139"/>
    </row>
    <row r="95" spans="2:18" x14ac:dyDescent="0.2">
      <c r="C95" s="135"/>
      <c r="D95" s="139"/>
      <c r="E95" s="135"/>
      <c r="F95" s="139"/>
    </row>
    <row r="96" spans="2:18" x14ac:dyDescent="0.2">
      <c r="C96" s="135"/>
      <c r="D96" s="139"/>
      <c r="E96" s="135"/>
      <c r="F96" s="139"/>
    </row>
    <row r="97" spans="2:13" x14ac:dyDescent="0.2">
      <c r="C97" s="135"/>
      <c r="D97" s="139"/>
      <c r="E97" s="135"/>
      <c r="F97" s="139"/>
    </row>
    <row r="98" spans="2:13" x14ac:dyDescent="0.2">
      <c r="C98" s="135"/>
      <c r="D98" s="139"/>
      <c r="E98" s="135"/>
      <c r="F98" s="139"/>
    </row>
    <row r="99" spans="2:13" x14ac:dyDescent="0.2">
      <c r="C99" s="152"/>
      <c r="D99" s="291"/>
      <c r="E99" s="152"/>
      <c r="F99" s="291"/>
      <c r="G99" s="152"/>
      <c r="H99" s="152"/>
      <c r="I99" s="152"/>
      <c r="J99" s="152"/>
      <c r="K99" s="152"/>
      <c r="L99" s="152"/>
    </row>
    <row r="100" spans="2:13" x14ac:dyDescent="0.2">
      <c r="C100" s="152"/>
      <c r="D100" s="292"/>
      <c r="E100" s="152"/>
      <c r="F100" s="292"/>
      <c r="G100" s="152"/>
      <c r="H100" s="152"/>
      <c r="I100" s="152"/>
      <c r="J100" s="152"/>
      <c r="K100" s="152"/>
      <c r="L100" s="152"/>
    </row>
    <row r="101" spans="2:13" x14ac:dyDescent="0.2">
      <c r="C101" s="152"/>
      <c r="D101" s="292"/>
      <c r="E101" s="152"/>
      <c r="F101" s="292"/>
      <c r="G101" s="152"/>
      <c r="H101" s="152"/>
      <c r="I101" s="152"/>
      <c r="J101" s="152"/>
      <c r="K101" s="152"/>
      <c r="L101" s="152"/>
    </row>
    <row r="102" spans="2:13" x14ac:dyDescent="0.2">
      <c r="C102" s="152"/>
      <c r="D102" s="292"/>
      <c r="E102" s="152"/>
      <c r="F102" s="292"/>
      <c r="G102" s="152"/>
      <c r="H102" s="152"/>
      <c r="I102" s="152"/>
      <c r="J102" s="152"/>
      <c r="K102" s="152"/>
      <c r="L102" s="152"/>
    </row>
    <row r="103" spans="2:13" x14ac:dyDescent="0.2">
      <c r="C103" s="152"/>
      <c r="D103" s="292"/>
      <c r="E103" s="152"/>
      <c r="F103" s="292"/>
      <c r="G103" s="152"/>
      <c r="H103" s="152"/>
      <c r="I103" s="152"/>
      <c r="J103" s="152"/>
      <c r="K103" s="152"/>
      <c r="L103" s="152"/>
    </row>
    <row r="104" spans="2:13" x14ac:dyDescent="0.2">
      <c r="C104" s="152"/>
      <c r="D104" s="292"/>
      <c r="E104" s="152"/>
      <c r="F104" s="292"/>
      <c r="G104" s="152"/>
      <c r="H104" s="152"/>
      <c r="I104" s="152"/>
      <c r="J104" s="152"/>
      <c r="K104" s="152"/>
      <c r="L104" s="152"/>
    </row>
    <row r="105" spans="2:13" x14ac:dyDescent="0.2">
      <c r="C105" s="135"/>
      <c r="D105" s="159"/>
      <c r="E105" s="135"/>
      <c r="F105" s="159"/>
      <c r="G105" s="135"/>
      <c r="H105" s="135"/>
      <c r="I105" s="135"/>
      <c r="J105" s="135"/>
      <c r="K105" s="135"/>
      <c r="L105" s="135"/>
      <c r="M105" s="135"/>
    </row>
    <row r="106" spans="2:13" x14ac:dyDescent="0.2">
      <c r="C106" s="135"/>
      <c r="D106" s="159"/>
      <c r="E106" s="135"/>
      <c r="F106" s="159"/>
      <c r="G106" s="135"/>
      <c r="H106" s="135"/>
      <c r="I106" s="135"/>
      <c r="J106" s="135"/>
      <c r="K106" s="135"/>
      <c r="L106" s="135"/>
      <c r="M106" s="135"/>
    </row>
    <row r="107" spans="2:13" x14ac:dyDescent="0.2">
      <c r="C107" s="135"/>
      <c r="D107" s="159"/>
      <c r="E107" s="135"/>
      <c r="F107" s="159"/>
      <c r="G107" s="135"/>
      <c r="H107" s="135"/>
      <c r="I107" s="135"/>
      <c r="J107" s="135"/>
      <c r="K107" s="135"/>
      <c r="L107" s="135"/>
      <c r="M107" s="135"/>
    </row>
    <row r="108" spans="2:13" x14ac:dyDescent="0.2">
      <c r="B108" s="161"/>
      <c r="C108" s="135"/>
      <c r="D108" s="137"/>
      <c r="E108" s="135"/>
      <c r="F108" s="137"/>
      <c r="G108" s="135"/>
      <c r="H108" s="135"/>
      <c r="I108" s="135"/>
      <c r="J108" s="135"/>
      <c r="K108" s="135"/>
      <c r="L108" s="135"/>
      <c r="M108" s="135"/>
    </row>
    <row r="109" spans="2:13" x14ac:dyDescent="0.2">
      <c r="B109" s="161"/>
      <c r="C109" s="135"/>
      <c r="D109" s="159"/>
      <c r="E109" s="135"/>
      <c r="F109" s="159"/>
      <c r="G109" s="135"/>
      <c r="H109" s="135"/>
      <c r="I109" s="135"/>
      <c r="J109" s="135"/>
      <c r="K109" s="135"/>
      <c r="L109" s="135"/>
      <c r="M109" s="135"/>
    </row>
    <row r="110" spans="2:13" x14ac:dyDescent="0.2">
      <c r="B110" s="161"/>
      <c r="C110" s="135"/>
      <c r="D110" s="137"/>
      <c r="E110" s="135"/>
      <c r="F110" s="137"/>
      <c r="G110" s="135"/>
      <c r="H110" s="135"/>
      <c r="I110" s="135"/>
      <c r="J110" s="135"/>
      <c r="K110" s="135"/>
      <c r="L110" s="135"/>
      <c r="M110" s="135"/>
    </row>
    <row r="111" spans="2:13" x14ac:dyDescent="0.2">
      <c r="B111" s="161"/>
      <c r="C111" s="214"/>
      <c r="D111" s="137"/>
      <c r="E111" s="135"/>
      <c r="F111" s="137"/>
      <c r="G111" s="135"/>
      <c r="H111" s="135"/>
      <c r="I111" s="135"/>
      <c r="J111" s="135"/>
      <c r="K111" s="135"/>
      <c r="L111" s="135"/>
      <c r="M111" s="135"/>
    </row>
    <row r="112" spans="2:13" x14ac:dyDescent="0.2">
      <c r="B112" s="161"/>
      <c r="C112" s="214">
        <v>2012</v>
      </c>
      <c r="D112" s="137">
        <f>D51</f>
        <v>1409321</v>
      </c>
      <c r="E112" s="135"/>
      <c r="F112" s="137">
        <f>H51</f>
        <v>1434218</v>
      </c>
      <c r="G112" s="135"/>
      <c r="H112" s="135"/>
      <c r="I112" s="135"/>
      <c r="J112" s="135"/>
      <c r="K112" s="135"/>
      <c r="L112" s="135"/>
      <c r="M112" s="135"/>
    </row>
    <row r="113" spans="2:13" x14ac:dyDescent="0.2">
      <c r="B113" s="161"/>
      <c r="C113" s="135">
        <v>2013</v>
      </c>
      <c r="D113" s="137">
        <v>1377200</v>
      </c>
      <c r="E113" s="135"/>
      <c r="F113" s="137">
        <v>1366800</v>
      </c>
      <c r="G113" s="135"/>
      <c r="H113" s="135"/>
      <c r="I113" s="135"/>
      <c r="J113" s="135"/>
      <c r="K113" s="135"/>
      <c r="L113" s="135"/>
      <c r="M113" s="135"/>
    </row>
    <row r="114" spans="2:13" x14ac:dyDescent="0.2">
      <c r="B114" s="161"/>
      <c r="C114" s="135">
        <v>2014</v>
      </c>
      <c r="D114" s="137">
        <v>1423029</v>
      </c>
      <c r="E114" s="135"/>
      <c r="F114" s="137">
        <v>1443356</v>
      </c>
      <c r="G114" s="135"/>
      <c r="H114" s="135"/>
      <c r="I114" s="135"/>
      <c r="J114" s="135"/>
      <c r="K114" s="135"/>
      <c r="L114" s="135"/>
      <c r="M114" s="135"/>
    </row>
    <row r="115" spans="2:13" x14ac:dyDescent="0.2">
      <c r="B115" s="161"/>
      <c r="C115" s="135">
        <v>2015</v>
      </c>
      <c r="D115" s="137">
        <v>1377000</v>
      </c>
      <c r="E115" s="135"/>
      <c r="F115" s="137">
        <v>1380000</v>
      </c>
      <c r="G115" s="135"/>
      <c r="H115" s="135"/>
      <c r="I115" s="135"/>
      <c r="J115" s="135"/>
      <c r="K115" s="135"/>
      <c r="L115" s="135"/>
      <c r="M115" s="135"/>
    </row>
    <row r="116" spans="2:13" x14ac:dyDescent="0.2">
      <c r="B116" s="161"/>
      <c r="C116" s="135">
        <v>2016</v>
      </c>
      <c r="D116" s="159">
        <v>1015623</v>
      </c>
      <c r="E116" s="135"/>
      <c r="F116" s="159">
        <v>985470</v>
      </c>
      <c r="G116" s="135"/>
      <c r="H116" s="135"/>
      <c r="I116" s="135"/>
      <c r="J116" s="135"/>
      <c r="K116" s="135"/>
      <c r="L116" s="135"/>
      <c r="M116" s="135"/>
    </row>
    <row r="117" spans="2:13" x14ac:dyDescent="0.2">
      <c r="B117" s="161"/>
      <c r="C117" s="135">
        <v>2017</v>
      </c>
      <c r="D117" s="159">
        <v>914692</v>
      </c>
      <c r="E117" s="135"/>
      <c r="F117" s="159">
        <v>874427</v>
      </c>
      <c r="G117" s="135"/>
      <c r="H117" s="135"/>
      <c r="I117" s="135"/>
      <c r="J117" s="135"/>
      <c r="K117" s="135"/>
      <c r="L117" s="135"/>
      <c r="M117" s="135"/>
    </row>
    <row r="118" spans="2:13" x14ac:dyDescent="0.2">
      <c r="B118" s="161"/>
      <c r="C118" s="212">
        <v>2018</v>
      </c>
      <c r="D118" s="159">
        <v>652463</v>
      </c>
      <c r="E118" s="135"/>
      <c r="F118" s="159">
        <v>622186</v>
      </c>
      <c r="G118" s="135"/>
      <c r="H118" s="135"/>
      <c r="I118" s="135"/>
      <c r="J118" s="135"/>
      <c r="K118" s="135"/>
      <c r="L118" s="135"/>
      <c r="M118" s="135"/>
    </row>
    <row r="119" spans="2:13" x14ac:dyDescent="0.2">
      <c r="B119" s="161"/>
      <c r="C119" s="135">
        <v>2019</v>
      </c>
      <c r="D119" s="159">
        <v>639524</v>
      </c>
      <c r="E119" s="135"/>
      <c r="F119" s="159">
        <v>609685</v>
      </c>
      <c r="G119" s="135"/>
      <c r="H119" s="135"/>
      <c r="I119" s="135"/>
      <c r="J119" s="135"/>
      <c r="K119" s="135"/>
      <c r="L119" s="135"/>
      <c r="M119" s="135"/>
    </row>
    <row r="120" spans="2:13" x14ac:dyDescent="0.2">
      <c r="B120" s="161"/>
      <c r="C120" s="135">
        <v>2020</v>
      </c>
      <c r="D120" s="159">
        <v>578970</v>
      </c>
      <c r="E120" s="135"/>
      <c r="F120" s="159">
        <v>537752</v>
      </c>
      <c r="G120" s="135"/>
      <c r="H120" s="135"/>
      <c r="I120" s="135"/>
      <c r="J120" s="135"/>
      <c r="K120" s="135"/>
      <c r="L120" s="135"/>
      <c r="M120" s="135"/>
    </row>
    <row r="121" spans="2:13" x14ac:dyDescent="0.2">
      <c r="B121" s="161"/>
      <c r="C121" s="135">
        <v>2021</v>
      </c>
      <c r="D121" s="159">
        <v>502979</v>
      </c>
      <c r="E121" s="135"/>
      <c r="F121" s="159">
        <v>470799</v>
      </c>
      <c r="G121" s="135"/>
      <c r="H121" s="135"/>
      <c r="I121" s="135"/>
      <c r="J121" s="135"/>
      <c r="K121" s="135"/>
      <c r="L121" s="135"/>
      <c r="M121" s="135"/>
    </row>
    <row r="122" spans="2:13" x14ac:dyDescent="0.2">
      <c r="B122" s="161"/>
      <c r="C122" s="135">
        <v>2022</v>
      </c>
      <c r="D122" s="139">
        <v>472544</v>
      </c>
      <c r="E122" s="135"/>
      <c r="F122" s="159">
        <v>424293</v>
      </c>
      <c r="G122" s="135"/>
      <c r="H122" s="135"/>
      <c r="I122" s="135"/>
      <c r="J122" s="135"/>
      <c r="K122" s="135"/>
      <c r="L122" s="135"/>
      <c r="M122" s="135"/>
    </row>
    <row r="123" spans="2:13" x14ac:dyDescent="0.2">
      <c r="B123" s="161"/>
      <c r="C123" s="135">
        <v>2023</v>
      </c>
      <c r="D123" s="139">
        <f>+D64</f>
        <v>368896</v>
      </c>
      <c r="E123" s="135"/>
      <c r="F123" s="159">
        <f>+H64</f>
        <v>331702</v>
      </c>
      <c r="G123" s="135"/>
      <c r="H123" s="135"/>
      <c r="I123" s="135"/>
      <c r="J123" s="135"/>
      <c r="K123" s="135"/>
      <c r="L123" s="135"/>
      <c r="M123" s="135"/>
    </row>
    <row r="124" spans="2:13" x14ac:dyDescent="0.2">
      <c r="C124" s="135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</row>
    <row r="125" spans="2:13" x14ac:dyDescent="0.2">
      <c r="C125" s="135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</row>
    <row r="126" spans="2:13" x14ac:dyDescent="0.2">
      <c r="C126" s="135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</row>
    <row r="127" spans="2:13" x14ac:dyDescent="0.2">
      <c r="C127" s="135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</row>
    <row r="128" spans="2:13" x14ac:dyDescent="0.2">
      <c r="C128" s="152"/>
      <c r="D128" s="152"/>
      <c r="E128" s="152"/>
      <c r="F128" s="152"/>
      <c r="G128" s="152"/>
      <c r="H128" s="152"/>
      <c r="I128" s="152"/>
      <c r="J128" s="152"/>
      <c r="K128" s="152"/>
      <c r="L128" s="152"/>
    </row>
    <row r="129" spans="3:12" x14ac:dyDescent="0.2">
      <c r="C129" s="152"/>
      <c r="D129" s="152"/>
      <c r="E129" s="152"/>
      <c r="F129" s="152"/>
      <c r="G129" s="152"/>
      <c r="H129" s="152"/>
      <c r="I129" s="152"/>
      <c r="J129" s="152"/>
      <c r="K129" s="152"/>
      <c r="L129" s="152"/>
    </row>
    <row r="130" spans="3:12" x14ac:dyDescent="0.2">
      <c r="C130" s="152"/>
      <c r="D130" s="152"/>
      <c r="E130" s="152"/>
      <c r="F130" s="152"/>
      <c r="G130" s="152"/>
      <c r="H130" s="152"/>
      <c r="I130" s="152"/>
      <c r="J130" s="152"/>
      <c r="K130" s="152"/>
      <c r="L130" s="152"/>
    </row>
    <row r="131" spans="3:12" x14ac:dyDescent="0.2">
      <c r="C131" s="152"/>
      <c r="D131" s="152"/>
      <c r="E131" s="152"/>
      <c r="F131" s="152"/>
      <c r="G131" s="152"/>
      <c r="H131" s="152"/>
      <c r="I131" s="152"/>
      <c r="J131" s="152"/>
      <c r="K131" s="152"/>
      <c r="L131" s="152"/>
    </row>
    <row r="132" spans="3:12" x14ac:dyDescent="0.2">
      <c r="C132" s="152"/>
      <c r="D132" s="152"/>
      <c r="E132" s="152"/>
      <c r="F132" s="152"/>
      <c r="G132" s="152"/>
      <c r="H132" s="152"/>
      <c r="I132" s="152"/>
      <c r="J132" s="152"/>
      <c r="K132" s="152"/>
      <c r="L132" s="152"/>
    </row>
    <row r="133" spans="3:12" x14ac:dyDescent="0.2">
      <c r="C133" s="152"/>
      <c r="D133" s="152"/>
      <c r="E133" s="152"/>
      <c r="F133" s="152"/>
      <c r="G133" s="152"/>
      <c r="H133" s="152"/>
      <c r="I133" s="152"/>
      <c r="J133" s="152"/>
      <c r="K133" s="152"/>
      <c r="L133" s="152"/>
    </row>
    <row r="134" spans="3:12" x14ac:dyDescent="0.2">
      <c r="C134" s="152"/>
      <c r="D134" s="152"/>
      <c r="E134" s="152"/>
      <c r="F134" s="152"/>
      <c r="G134" s="152"/>
      <c r="H134" s="152"/>
      <c r="I134" s="152"/>
      <c r="J134" s="152"/>
      <c r="K134" s="152"/>
      <c r="L134" s="152"/>
    </row>
    <row r="135" spans="3:12" x14ac:dyDescent="0.2">
      <c r="C135" s="152"/>
      <c r="D135" s="152"/>
      <c r="E135" s="152"/>
      <c r="F135" s="152"/>
      <c r="G135" s="152"/>
      <c r="H135" s="152"/>
      <c r="I135" s="152"/>
      <c r="J135" s="152"/>
      <c r="K135" s="152"/>
      <c r="L135" s="152"/>
    </row>
    <row r="136" spans="3:12" x14ac:dyDescent="0.2">
      <c r="C136" s="152"/>
      <c r="D136" s="152"/>
      <c r="E136" s="152"/>
      <c r="F136" s="152"/>
      <c r="G136" s="152"/>
      <c r="H136" s="152"/>
      <c r="I136" s="152"/>
      <c r="J136" s="152"/>
      <c r="K136" s="152"/>
      <c r="L136" s="152"/>
    </row>
    <row r="137" spans="3:12" x14ac:dyDescent="0.2">
      <c r="C137" s="152"/>
      <c r="D137" s="152"/>
      <c r="E137" s="152"/>
      <c r="F137" s="152"/>
      <c r="G137" s="152"/>
      <c r="H137" s="152"/>
      <c r="I137" s="152"/>
      <c r="J137" s="152"/>
      <c r="K137" s="152"/>
      <c r="L137" s="152"/>
    </row>
    <row r="138" spans="3:12" x14ac:dyDescent="0.2">
      <c r="C138" s="152"/>
      <c r="D138" s="152"/>
      <c r="E138" s="152"/>
      <c r="F138" s="152"/>
      <c r="G138" s="152"/>
      <c r="H138" s="152"/>
      <c r="I138" s="152"/>
      <c r="J138" s="152"/>
      <c r="K138" s="152"/>
      <c r="L138" s="152"/>
    </row>
    <row r="139" spans="3:12" x14ac:dyDescent="0.2">
      <c r="C139" s="152"/>
      <c r="D139" s="152"/>
      <c r="E139" s="152"/>
      <c r="F139" s="152"/>
      <c r="G139" s="152"/>
      <c r="H139" s="152"/>
      <c r="I139" s="152"/>
      <c r="J139" s="152"/>
      <c r="K139" s="152"/>
      <c r="L139" s="152"/>
    </row>
    <row r="140" spans="3:12" x14ac:dyDescent="0.2">
      <c r="C140" s="152"/>
      <c r="D140" s="152"/>
      <c r="E140" s="152"/>
      <c r="F140" s="152"/>
      <c r="G140" s="152"/>
      <c r="H140" s="152"/>
      <c r="I140" s="152"/>
      <c r="J140" s="152"/>
      <c r="K140" s="152"/>
      <c r="L140" s="152"/>
    </row>
    <row r="141" spans="3:12" x14ac:dyDescent="0.2"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</row>
    <row r="142" spans="3:12" x14ac:dyDescent="0.2">
      <c r="C142" s="152"/>
      <c r="D142" s="152"/>
      <c r="E142" s="152"/>
      <c r="F142" s="152"/>
      <c r="G142" s="152"/>
      <c r="H142" s="152"/>
      <c r="I142" s="152"/>
      <c r="J142" s="152"/>
      <c r="K142" s="152"/>
      <c r="L142" s="152"/>
    </row>
    <row r="143" spans="3:12" x14ac:dyDescent="0.2">
      <c r="C143" s="152"/>
      <c r="D143" s="152"/>
      <c r="E143" s="152"/>
      <c r="F143" s="152"/>
      <c r="G143" s="152"/>
      <c r="H143" s="152"/>
      <c r="I143" s="152"/>
      <c r="J143" s="152"/>
      <c r="K143" s="152"/>
      <c r="L143" s="152"/>
    </row>
    <row r="144" spans="3:12" x14ac:dyDescent="0.2">
      <c r="C144" s="152"/>
      <c r="D144" s="152"/>
      <c r="E144" s="152"/>
      <c r="F144" s="152"/>
      <c r="G144" s="152"/>
      <c r="H144" s="152"/>
      <c r="I144" s="152"/>
      <c r="J144" s="152"/>
      <c r="K144" s="152"/>
      <c r="L144" s="152"/>
    </row>
    <row r="145" spans="3:12" x14ac:dyDescent="0.2">
      <c r="C145" s="152"/>
      <c r="D145" s="152"/>
      <c r="E145" s="152"/>
      <c r="F145" s="152"/>
      <c r="G145" s="152"/>
      <c r="H145" s="152"/>
      <c r="I145" s="152"/>
      <c r="J145" s="152"/>
      <c r="K145" s="152"/>
      <c r="L145" s="152"/>
    </row>
    <row r="146" spans="3:12" x14ac:dyDescent="0.2">
      <c r="C146" s="152"/>
      <c r="D146" s="152"/>
      <c r="E146" s="152"/>
      <c r="F146" s="152"/>
      <c r="G146" s="152"/>
      <c r="H146" s="152"/>
      <c r="I146" s="152"/>
      <c r="J146" s="152"/>
      <c r="K146" s="152"/>
      <c r="L146" s="152"/>
    </row>
    <row r="147" spans="3:12" x14ac:dyDescent="0.2">
      <c r="C147" s="152"/>
      <c r="D147" s="152"/>
      <c r="E147" s="152"/>
      <c r="F147" s="152"/>
      <c r="G147" s="152"/>
      <c r="H147" s="152"/>
      <c r="I147" s="152"/>
      <c r="J147" s="152"/>
      <c r="K147" s="152"/>
      <c r="L147" s="152"/>
    </row>
    <row r="148" spans="3:12" x14ac:dyDescent="0.2">
      <c r="C148" s="152"/>
      <c r="D148" s="152"/>
      <c r="E148" s="152"/>
      <c r="F148" s="152"/>
      <c r="G148" s="152"/>
      <c r="H148" s="152"/>
      <c r="I148" s="152"/>
      <c r="J148" s="152"/>
      <c r="K148" s="152"/>
      <c r="L148" s="152"/>
    </row>
    <row r="149" spans="3:12" x14ac:dyDescent="0.2">
      <c r="C149" s="152"/>
      <c r="D149" s="152"/>
      <c r="E149" s="152"/>
      <c r="F149" s="152"/>
      <c r="G149" s="152"/>
      <c r="H149" s="152"/>
      <c r="I149" s="152"/>
      <c r="J149" s="152"/>
      <c r="K149" s="152"/>
      <c r="L149" s="152"/>
    </row>
    <row r="150" spans="3:12" x14ac:dyDescent="0.2">
      <c r="C150" s="152"/>
      <c r="D150" s="152"/>
      <c r="E150" s="152"/>
      <c r="F150" s="152"/>
      <c r="G150" s="152"/>
      <c r="H150" s="152"/>
      <c r="I150" s="152"/>
      <c r="J150" s="152"/>
      <c r="K150" s="152"/>
      <c r="L150" s="152"/>
    </row>
    <row r="151" spans="3:12" x14ac:dyDescent="0.2">
      <c r="C151" s="152"/>
      <c r="D151" s="152"/>
      <c r="E151" s="152"/>
      <c r="F151" s="152"/>
      <c r="G151" s="152"/>
      <c r="H151" s="152"/>
      <c r="I151" s="152"/>
      <c r="J151" s="152"/>
      <c r="K151" s="152"/>
      <c r="L151" s="152"/>
    </row>
    <row r="152" spans="3:12" x14ac:dyDescent="0.2">
      <c r="C152" s="152"/>
      <c r="D152" s="152"/>
      <c r="E152" s="152"/>
      <c r="F152" s="152"/>
      <c r="G152" s="152"/>
      <c r="H152" s="152"/>
      <c r="I152" s="152"/>
      <c r="J152" s="152"/>
      <c r="K152" s="152"/>
      <c r="L152" s="152"/>
    </row>
    <row r="153" spans="3:12" x14ac:dyDescent="0.2">
      <c r="C153" s="152"/>
      <c r="D153" s="152"/>
      <c r="E153" s="152"/>
      <c r="F153" s="152"/>
      <c r="G153" s="152"/>
      <c r="H153" s="152"/>
      <c r="I153" s="152"/>
      <c r="J153" s="152"/>
      <c r="K153" s="152"/>
      <c r="L153" s="152"/>
    </row>
    <row r="154" spans="3:12" x14ac:dyDescent="0.2">
      <c r="C154" s="152"/>
      <c r="D154" s="152"/>
      <c r="E154" s="152"/>
      <c r="F154" s="152"/>
      <c r="G154" s="152"/>
      <c r="H154" s="152"/>
      <c r="I154" s="152"/>
      <c r="J154" s="152"/>
      <c r="K154" s="152"/>
      <c r="L154" s="152"/>
    </row>
    <row r="155" spans="3:12" x14ac:dyDescent="0.2">
      <c r="C155" s="152"/>
      <c r="D155" s="152"/>
      <c r="E155" s="152"/>
      <c r="F155" s="152"/>
      <c r="G155" s="152"/>
      <c r="H155" s="152"/>
      <c r="I155" s="152"/>
      <c r="J155" s="152"/>
      <c r="K155" s="152"/>
      <c r="L155" s="152"/>
    </row>
    <row r="156" spans="3:12" x14ac:dyDescent="0.2">
      <c r="C156" s="152"/>
      <c r="D156" s="152"/>
      <c r="E156" s="152"/>
      <c r="F156" s="152"/>
      <c r="G156" s="152"/>
      <c r="H156" s="152"/>
      <c r="I156" s="152"/>
      <c r="J156" s="152"/>
      <c r="K156" s="152"/>
      <c r="L156" s="152"/>
    </row>
    <row r="157" spans="3:12" x14ac:dyDescent="0.2">
      <c r="C157" s="152"/>
      <c r="D157" s="152"/>
      <c r="E157" s="152"/>
      <c r="F157" s="152"/>
      <c r="G157" s="152"/>
      <c r="H157" s="152"/>
      <c r="I157" s="152"/>
      <c r="J157" s="152"/>
      <c r="K157" s="152"/>
      <c r="L157" s="152"/>
    </row>
    <row r="158" spans="3:12" x14ac:dyDescent="0.2">
      <c r="C158" s="152"/>
      <c r="D158" s="152"/>
      <c r="E158" s="152"/>
      <c r="F158" s="152"/>
      <c r="G158" s="152"/>
      <c r="H158" s="152"/>
      <c r="I158" s="152"/>
      <c r="J158" s="152"/>
      <c r="K158" s="152"/>
      <c r="L158" s="152"/>
    </row>
    <row r="159" spans="3:12" x14ac:dyDescent="0.2">
      <c r="C159" s="152"/>
      <c r="D159" s="152"/>
      <c r="E159" s="152"/>
      <c r="F159" s="152"/>
      <c r="G159" s="152"/>
      <c r="H159" s="152"/>
      <c r="I159" s="152"/>
      <c r="J159" s="152"/>
      <c r="K159" s="152"/>
      <c r="L159" s="152"/>
    </row>
    <row r="160" spans="3:12" x14ac:dyDescent="0.2">
      <c r="C160" s="152"/>
      <c r="D160" s="152"/>
      <c r="E160" s="152"/>
      <c r="F160" s="152"/>
      <c r="G160" s="152"/>
      <c r="H160" s="152"/>
      <c r="I160" s="152"/>
      <c r="J160" s="152"/>
      <c r="K160" s="152"/>
      <c r="L160" s="152"/>
    </row>
    <row r="161" spans="3:12" x14ac:dyDescent="0.2">
      <c r="C161" s="152"/>
      <c r="D161" s="152"/>
      <c r="E161" s="152"/>
      <c r="F161" s="152"/>
      <c r="G161" s="152"/>
      <c r="H161" s="152"/>
      <c r="I161" s="152"/>
      <c r="J161" s="152"/>
      <c r="K161" s="152"/>
      <c r="L161" s="152"/>
    </row>
    <row r="162" spans="3:12" x14ac:dyDescent="0.2">
      <c r="C162" s="152"/>
      <c r="D162" s="152"/>
      <c r="E162" s="152"/>
      <c r="F162" s="152"/>
      <c r="G162" s="152"/>
      <c r="H162" s="152"/>
      <c r="I162" s="152"/>
      <c r="J162" s="152"/>
      <c r="K162" s="152"/>
      <c r="L162" s="152"/>
    </row>
    <row r="163" spans="3:12" x14ac:dyDescent="0.2">
      <c r="C163" s="152"/>
      <c r="D163" s="152"/>
      <c r="E163" s="152"/>
      <c r="F163" s="152"/>
      <c r="G163" s="152"/>
      <c r="H163" s="152"/>
      <c r="I163" s="152"/>
      <c r="J163" s="152"/>
      <c r="K163" s="152"/>
      <c r="L163" s="152"/>
    </row>
    <row r="164" spans="3:12" x14ac:dyDescent="0.2">
      <c r="C164" s="152"/>
      <c r="D164" s="152"/>
      <c r="E164" s="152"/>
      <c r="F164" s="152"/>
      <c r="G164" s="152"/>
      <c r="H164" s="152"/>
      <c r="I164" s="152"/>
      <c r="J164" s="152"/>
      <c r="K164" s="152"/>
      <c r="L164" s="152"/>
    </row>
    <row r="165" spans="3:12" x14ac:dyDescent="0.2">
      <c r="C165" s="152"/>
      <c r="D165" s="152"/>
      <c r="E165" s="152"/>
      <c r="F165" s="152"/>
      <c r="G165" s="152"/>
      <c r="H165" s="152"/>
      <c r="I165" s="152"/>
      <c r="J165" s="152"/>
      <c r="K165" s="152"/>
      <c r="L165" s="152"/>
    </row>
    <row r="166" spans="3:12" x14ac:dyDescent="0.2">
      <c r="C166" s="152"/>
      <c r="D166" s="152"/>
      <c r="E166" s="152"/>
      <c r="F166" s="152"/>
      <c r="G166" s="152"/>
      <c r="H166" s="152"/>
      <c r="I166" s="152"/>
      <c r="J166" s="152"/>
      <c r="K166" s="152"/>
      <c r="L166" s="152"/>
    </row>
    <row r="167" spans="3:12" x14ac:dyDescent="0.2">
      <c r="C167" s="152"/>
      <c r="D167" s="152"/>
      <c r="E167" s="152"/>
      <c r="F167" s="152"/>
      <c r="G167" s="152"/>
      <c r="H167" s="152"/>
      <c r="I167" s="152"/>
      <c r="J167" s="152"/>
      <c r="K167" s="152"/>
      <c r="L167" s="152"/>
    </row>
    <row r="168" spans="3:12" x14ac:dyDescent="0.2">
      <c r="C168" s="152"/>
      <c r="D168" s="152"/>
      <c r="E168" s="152"/>
      <c r="F168" s="152"/>
      <c r="G168" s="152"/>
      <c r="H168" s="152"/>
      <c r="I168" s="152"/>
      <c r="J168" s="152"/>
      <c r="K168" s="152"/>
      <c r="L168" s="152"/>
    </row>
    <row r="169" spans="3:12" x14ac:dyDescent="0.2">
      <c r="C169" s="152"/>
      <c r="D169" s="152"/>
      <c r="E169" s="152"/>
      <c r="F169" s="152"/>
      <c r="G169" s="152"/>
      <c r="H169" s="152"/>
      <c r="I169" s="152"/>
      <c r="J169" s="152"/>
      <c r="K169" s="152"/>
      <c r="L169" s="152"/>
    </row>
    <row r="170" spans="3:12" x14ac:dyDescent="0.2">
      <c r="C170" s="152"/>
      <c r="D170" s="152"/>
      <c r="E170" s="152"/>
      <c r="F170" s="152"/>
      <c r="G170" s="152"/>
      <c r="H170" s="152"/>
      <c r="I170" s="152"/>
      <c r="J170" s="152"/>
      <c r="K170" s="152"/>
      <c r="L170" s="152"/>
    </row>
    <row r="171" spans="3:12" x14ac:dyDescent="0.2">
      <c r="C171" s="152"/>
      <c r="D171" s="152"/>
      <c r="E171" s="152"/>
      <c r="F171" s="152"/>
      <c r="G171" s="152"/>
      <c r="H171" s="152"/>
      <c r="I171" s="152"/>
      <c r="J171" s="152"/>
      <c r="K171" s="152"/>
      <c r="L171" s="152"/>
    </row>
    <row r="172" spans="3:12" x14ac:dyDescent="0.2">
      <c r="C172" s="152"/>
      <c r="D172" s="152"/>
      <c r="E172" s="152"/>
      <c r="F172" s="152"/>
      <c r="G172" s="152"/>
      <c r="H172" s="152"/>
      <c r="I172" s="152"/>
      <c r="J172" s="152"/>
      <c r="K172" s="152"/>
      <c r="L172" s="152"/>
    </row>
    <row r="173" spans="3:12" x14ac:dyDescent="0.2">
      <c r="C173" s="152"/>
      <c r="D173" s="152"/>
      <c r="E173" s="152"/>
      <c r="F173" s="152"/>
      <c r="G173" s="152"/>
      <c r="H173" s="152"/>
      <c r="I173" s="152"/>
      <c r="J173" s="152"/>
      <c r="K173" s="152"/>
      <c r="L173" s="152"/>
    </row>
    <row r="174" spans="3:12" x14ac:dyDescent="0.2">
      <c r="C174" s="152"/>
      <c r="D174" s="152"/>
      <c r="E174" s="152"/>
      <c r="F174" s="152"/>
      <c r="G174" s="152"/>
      <c r="H174" s="152"/>
      <c r="I174" s="152"/>
      <c r="J174" s="152"/>
      <c r="K174" s="152"/>
      <c r="L174" s="152"/>
    </row>
    <row r="175" spans="3:12" x14ac:dyDescent="0.2">
      <c r="C175" s="152"/>
      <c r="D175" s="152"/>
      <c r="E175" s="152"/>
      <c r="F175" s="152"/>
      <c r="G175" s="152"/>
      <c r="H175" s="152"/>
      <c r="I175" s="152"/>
      <c r="J175" s="152"/>
      <c r="K175" s="152"/>
      <c r="L175" s="152"/>
    </row>
    <row r="176" spans="3:12" x14ac:dyDescent="0.2">
      <c r="C176" s="152"/>
      <c r="D176" s="152"/>
      <c r="E176" s="152"/>
      <c r="F176" s="152"/>
      <c r="G176" s="152"/>
      <c r="H176" s="152"/>
      <c r="I176" s="152"/>
      <c r="J176" s="152"/>
      <c r="K176" s="152"/>
      <c r="L176" s="152"/>
    </row>
    <row r="177" spans="3:12" x14ac:dyDescent="0.2">
      <c r="C177" s="152"/>
      <c r="D177" s="152"/>
      <c r="E177" s="152"/>
      <c r="F177" s="152"/>
      <c r="G177" s="152"/>
      <c r="H177" s="152"/>
      <c r="I177" s="152"/>
      <c r="J177" s="152"/>
      <c r="K177" s="152"/>
      <c r="L177" s="152"/>
    </row>
    <row r="178" spans="3:12" x14ac:dyDescent="0.2">
      <c r="C178" s="152"/>
      <c r="D178" s="152"/>
      <c r="E178" s="152"/>
      <c r="F178" s="152"/>
      <c r="G178" s="152"/>
      <c r="H178" s="152"/>
      <c r="I178" s="152"/>
      <c r="J178" s="152"/>
      <c r="K178" s="152"/>
      <c r="L178" s="152"/>
    </row>
    <row r="179" spans="3:12" x14ac:dyDescent="0.2">
      <c r="C179" s="152"/>
      <c r="D179" s="152"/>
      <c r="E179" s="152"/>
      <c r="F179" s="152"/>
      <c r="G179" s="152"/>
      <c r="H179" s="152"/>
      <c r="I179" s="152"/>
      <c r="J179" s="152"/>
      <c r="K179" s="152"/>
      <c r="L179" s="152"/>
    </row>
    <row r="180" spans="3:12" x14ac:dyDescent="0.2">
      <c r="C180" s="152"/>
      <c r="D180" s="152"/>
      <c r="E180" s="152"/>
      <c r="F180" s="152"/>
      <c r="G180" s="152"/>
      <c r="H180" s="152"/>
      <c r="I180" s="152"/>
      <c r="J180" s="152"/>
      <c r="K180" s="152"/>
      <c r="L180" s="152"/>
    </row>
    <row r="181" spans="3:12" x14ac:dyDescent="0.2">
      <c r="C181" s="152"/>
      <c r="D181" s="152"/>
      <c r="E181" s="152"/>
      <c r="F181" s="152"/>
      <c r="G181" s="152"/>
      <c r="H181" s="152"/>
      <c r="I181" s="152"/>
      <c r="J181" s="152"/>
      <c r="K181" s="152"/>
      <c r="L181" s="152"/>
    </row>
    <row r="182" spans="3:12" x14ac:dyDescent="0.2">
      <c r="C182" s="152"/>
      <c r="D182" s="152"/>
      <c r="E182" s="152"/>
      <c r="F182" s="152"/>
      <c r="G182" s="152"/>
      <c r="H182" s="152"/>
      <c r="I182" s="152"/>
      <c r="J182" s="152"/>
      <c r="K182" s="152"/>
      <c r="L182" s="152"/>
    </row>
    <row r="183" spans="3:12" x14ac:dyDescent="0.2">
      <c r="C183" s="152"/>
      <c r="D183" s="152"/>
      <c r="E183" s="152"/>
      <c r="F183" s="152"/>
      <c r="G183" s="152"/>
      <c r="H183" s="152"/>
      <c r="I183" s="152"/>
      <c r="J183" s="152"/>
      <c r="K183" s="152"/>
      <c r="L183" s="152"/>
    </row>
    <row r="184" spans="3:12" x14ac:dyDescent="0.2">
      <c r="C184" s="152"/>
      <c r="D184" s="152"/>
      <c r="E184" s="152"/>
      <c r="F184" s="152"/>
      <c r="G184" s="152"/>
      <c r="H184" s="152"/>
      <c r="I184" s="152"/>
      <c r="J184" s="152"/>
      <c r="K184" s="152"/>
      <c r="L184" s="152"/>
    </row>
    <row r="185" spans="3:12" x14ac:dyDescent="0.2">
      <c r="C185" s="152"/>
      <c r="D185" s="152"/>
      <c r="E185" s="152"/>
      <c r="F185" s="152"/>
      <c r="G185" s="152"/>
      <c r="H185" s="152"/>
      <c r="I185" s="152"/>
      <c r="J185" s="152"/>
      <c r="K185" s="152"/>
      <c r="L185" s="152"/>
    </row>
    <row r="186" spans="3:12" x14ac:dyDescent="0.2">
      <c r="C186" s="152"/>
      <c r="D186" s="152"/>
      <c r="E186" s="152"/>
      <c r="F186" s="152"/>
      <c r="G186" s="152"/>
      <c r="H186" s="152"/>
      <c r="I186" s="152"/>
      <c r="J186" s="152"/>
      <c r="K186" s="152"/>
      <c r="L186" s="152"/>
    </row>
    <row r="187" spans="3:12" x14ac:dyDescent="0.2">
      <c r="C187" s="152"/>
      <c r="D187" s="152"/>
      <c r="E187" s="152"/>
      <c r="F187" s="152"/>
      <c r="G187" s="152"/>
      <c r="H187" s="152"/>
      <c r="I187" s="152"/>
      <c r="J187" s="152"/>
      <c r="K187" s="152"/>
      <c r="L187" s="152"/>
    </row>
    <row r="188" spans="3:12" x14ac:dyDescent="0.2">
      <c r="C188" s="152"/>
      <c r="D188" s="152"/>
      <c r="E188" s="152"/>
      <c r="F188" s="152"/>
      <c r="G188" s="152"/>
      <c r="H188" s="152"/>
      <c r="I188" s="152"/>
      <c r="J188" s="152"/>
      <c r="K188" s="152"/>
      <c r="L188" s="152"/>
    </row>
    <row r="189" spans="3:12" x14ac:dyDescent="0.2">
      <c r="C189" s="152"/>
      <c r="D189" s="152"/>
      <c r="E189" s="152"/>
      <c r="F189" s="152"/>
      <c r="G189" s="152"/>
      <c r="H189" s="152"/>
      <c r="I189" s="152"/>
      <c r="J189" s="152"/>
      <c r="K189" s="152"/>
      <c r="L189" s="152"/>
    </row>
    <row r="190" spans="3:12" x14ac:dyDescent="0.2">
      <c r="C190" s="152"/>
      <c r="D190" s="152"/>
      <c r="E190" s="152"/>
      <c r="F190" s="152"/>
      <c r="G190" s="152"/>
      <c r="H190" s="152"/>
      <c r="I190" s="152"/>
      <c r="J190" s="152"/>
      <c r="K190" s="152"/>
      <c r="L190" s="152"/>
    </row>
  </sheetData>
  <mergeCells count="1">
    <mergeCell ref="C5:J5"/>
  </mergeCells>
  <phoneticPr fontId="6" type="noConversion"/>
  <printOptions horizontalCentered="1"/>
  <pageMargins left="1" right="1" top="0.66" bottom="0.68" header="0.5" footer="0.5"/>
  <pageSetup scale="76" fitToWidth="2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6147" r:id="rId4">
          <objectPr defaultSize="0" autoPict="0" r:id="rId5">
            <anchor moveWithCells="1" sizeWithCells="1">
              <from>
                <xdr:col>2</xdr:col>
                <xdr:colOff>447675</xdr:colOff>
                <xdr:row>1</xdr:row>
                <xdr:rowOff>38100</xdr:rowOff>
              </from>
              <to>
                <xdr:col>3</xdr:col>
                <xdr:colOff>514350</xdr:colOff>
                <xdr:row>2</xdr:row>
                <xdr:rowOff>142875</xdr:rowOff>
              </to>
            </anchor>
          </objectPr>
        </oleObject>
      </mc:Choice>
      <mc:Fallback>
        <oleObject progId="MSPhotoEd.3" shapeId="6147" r:id="rId4"/>
      </mc:Fallback>
    </mc:AlternateContent>
    <mc:AlternateContent xmlns:mc="http://schemas.openxmlformats.org/markup-compatibility/2006">
      <mc:Choice Requires="x14">
        <oleObject progId="MSPhotoEd.3" shapeId="6148" r:id="rId6">
          <objectPr defaultSize="0" autoPict="0" r:id="rId5">
            <anchor moveWithCells="1" sizeWithCells="1">
              <from>
                <xdr:col>0</xdr:col>
                <xdr:colOff>123825</xdr:colOff>
                <xdr:row>0</xdr:row>
                <xdr:rowOff>66675</xdr:rowOff>
              </from>
              <to>
                <xdr:col>2</xdr:col>
                <xdr:colOff>285750</xdr:colOff>
                <xdr:row>2</xdr:row>
                <xdr:rowOff>9525</xdr:rowOff>
              </to>
            </anchor>
          </objectPr>
        </oleObject>
      </mc:Choice>
      <mc:Fallback>
        <oleObject progId="MSPhotoEd.3" shapeId="6148" r:id="rId6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B2:M80"/>
  <sheetViews>
    <sheetView zoomScaleNormal="100" zoomScaleSheetLayoutView="100" workbookViewId="0">
      <selection activeCell="P34" sqref="P34"/>
    </sheetView>
  </sheetViews>
  <sheetFormatPr defaultRowHeight="12.75" x14ac:dyDescent="0.2"/>
  <cols>
    <col min="1" max="1" width="9.140625" style="17"/>
    <col min="2" max="2" width="9" style="17" customWidth="1"/>
    <col min="3" max="8" width="9.7109375" style="17" customWidth="1"/>
    <col min="9" max="9" width="11.7109375" style="17" customWidth="1"/>
    <col min="10" max="10" width="10.5703125" style="17" customWidth="1"/>
    <col min="11" max="16384" width="9.140625" style="17"/>
  </cols>
  <sheetData>
    <row r="2" spans="2:12" x14ac:dyDescent="0.2">
      <c r="I2" s="140" t="s">
        <v>253</v>
      </c>
    </row>
    <row r="4" spans="2:12" ht="15" x14ac:dyDescent="0.25">
      <c r="J4" s="129"/>
      <c r="K4" s="211"/>
    </row>
    <row r="7" spans="2:12" ht="15.75" x14ac:dyDescent="0.25">
      <c r="B7" s="151">
        <v>12.07</v>
      </c>
      <c r="C7" s="130"/>
      <c r="D7" s="311" t="s">
        <v>260</v>
      </c>
      <c r="E7" s="311"/>
      <c r="F7" s="311"/>
      <c r="G7" s="311"/>
      <c r="H7" s="311"/>
      <c r="I7" s="311"/>
      <c r="J7" s="311"/>
      <c r="K7" s="154"/>
    </row>
    <row r="9" spans="2:12" x14ac:dyDescent="0.2">
      <c r="L9" s="25"/>
    </row>
    <row r="10" spans="2:12" ht="39.75" customHeight="1" x14ac:dyDescent="0.2">
      <c r="C10" s="182" t="s">
        <v>0</v>
      </c>
      <c r="D10" s="174" t="s">
        <v>245</v>
      </c>
      <c r="E10" s="174" t="s">
        <v>246</v>
      </c>
      <c r="F10" s="174" t="s">
        <v>247</v>
      </c>
      <c r="G10" s="174" t="s">
        <v>248</v>
      </c>
      <c r="H10" s="183" t="s">
        <v>81</v>
      </c>
      <c r="I10" s="183" t="s">
        <v>22</v>
      </c>
      <c r="J10" s="183" t="s">
        <v>82</v>
      </c>
      <c r="K10" s="25"/>
      <c r="L10" s="25"/>
    </row>
    <row r="12" spans="2:12" x14ac:dyDescent="0.2">
      <c r="C12" s="222">
        <v>1991</v>
      </c>
      <c r="D12" s="190">
        <v>4</v>
      </c>
      <c r="E12" s="163">
        <v>28</v>
      </c>
      <c r="F12" s="163">
        <v>274</v>
      </c>
      <c r="G12" s="163">
        <v>201</v>
      </c>
      <c r="H12" s="163">
        <v>37</v>
      </c>
      <c r="I12" s="163">
        <f t="shared" ref="I12:I16" si="0">SUM(D12:H12)</f>
        <v>544</v>
      </c>
      <c r="J12" s="293">
        <v>55</v>
      </c>
    </row>
    <row r="13" spans="2:12" x14ac:dyDescent="0.2">
      <c r="C13" s="222">
        <v>1992</v>
      </c>
      <c r="D13" s="190">
        <v>4</v>
      </c>
      <c r="E13" s="163">
        <v>26</v>
      </c>
      <c r="F13" s="163">
        <v>265</v>
      </c>
      <c r="G13" s="163">
        <v>199</v>
      </c>
      <c r="H13" s="163">
        <v>38</v>
      </c>
      <c r="I13" s="163">
        <f t="shared" si="0"/>
        <v>532</v>
      </c>
      <c r="J13" s="293">
        <v>56</v>
      </c>
    </row>
    <row r="14" spans="2:12" x14ac:dyDescent="0.2">
      <c r="C14" s="222">
        <v>1993</v>
      </c>
      <c r="D14" s="190">
        <v>5</v>
      </c>
      <c r="E14" s="163">
        <v>26</v>
      </c>
      <c r="F14" s="163">
        <v>266</v>
      </c>
      <c r="G14" s="163">
        <v>196</v>
      </c>
      <c r="H14" s="163">
        <v>44</v>
      </c>
      <c r="I14" s="163">
        <f t="shared" si="0"/>
        <v>537</v>
      </c>
      <c r="J14" s="293">
        <v>55</v>
      </c>
    </row>
    <row r="15" spans="2:12" x14ac:dyDescent="0.2">
      <c r="C15" s="222">
        <v>1994</v>
      </c>
      <c r="D15" s="190">
        <v>5</v>
      </c>
      <c r="E15" s="163">
        <v>26</v>
      </c>
      <c r="F15" s="163">
        <v>278</v>
      </c>
      <c r="G15" s="163">
        <v>198</v>
      </c>
      <c r="H15" s="163">
        <v>53</v>
      </c>
      <c r="I15" s="163">
        <f t="shared" si="0"/>
        <v>560</v>
      </c>
      <c r="J15" s="293">
        <v>82</v>
      </c>
    </row>
    <row r="16" spans="2:12" x14ac:dyDescent="0.2">
      <c r="C16" s="222">
        <v>1995</v>
      </c>
      <c r="D16" s="190">
        <v>4</v>
      </c>
      <c r="E16" s="163">
        <v>25</v>
      </c>
      <c r="F16" s="163">
        <v>278</v>
      </c>
      <c r="G16" s="163">
        <v>194</v>
      </c>
      <c r="H16" s="163">
        <v>63</v>
      </c>
      <c r="I16" s="163">
        <f t="shared" si="0"/>
        <v>564</v>
      </c>
      <c r="J16" s="293">
        <v>84</v>
      </c>
    </row>
    <row r="17" spans="2:11" x14ac:dyDescent="0.2">
      <c r="C17" s="222"/>
      <c r="D17" s="190"/>
      <c r="E17" s="163"/>
      <c r="F17" s="163"/>
      <c r="G17" s="163"/>
      <c r="H17" s="163"/>
      <c r="I17" s="163"/>
      <c r="J17" s="293"/>
    </row>
    <row r="18" spans="2:11" x14ac:dyDescent="0.2">
      <c r="C18" s="222">
        <v>1996</v>
      </c>
      <c r="D18" s="190">
        <v>4</v>
      </c>
      <c r="E18" s="163">
        <v>24</v>
      </c>
      <c r="F18" s="163">
        <v>278</v>
      </c>
      <c r="G18" s="163">
        <v>193</v>
      </c>
      <c r="H18" s="163">
        <v>78</v>
      </c>
      <c r="I18" s="163">
        <f>SUM(D18:H18)</f>
        <v>577</v>
      </c>
      <c r="J18" s="293">
        <v>93</v>
      </c>
    </row>
    <row r="19" spans="2:11" x14ac:dyDescent="0.2">
      <c r="C19" s="222">
        <v>1997</v>
      </c>
      <c r="D19" s="190">
        <v>4</v>
      </c>
      <c r="E19" s="163">
        <v>26</v>
      </c>
      <c r="F19" s="163">
        <v>288</v>
      </c>
      <c r="G19" s="163">
        <v>187</v>
      </c>
      <c r="H19" s="163">
        <v>89</v>
      </c>
      <c r="I19" s="163">
        <f t="shared" ref="I19:I31" si="1">SUM(D19:H19)</f>
        <v>594</v>
      </c>
      <c r="J19" s="293">
        <v>98</v>
      </c>
    </row>
    <row r="20" spans="2:11" x14ac:dyDescent="0.2">
      <c r="B20" s="25"/>
      <c r="C20" s="175">
        <v>1998</v>
      </c>
      <c r="D20" s="185">
        <v>4</v>
      </c>
      <c r="E20" s="179">
        <v>26</v>
      </c>
      <c r="F20" s="179">
        <v>277</v>
      </c>
      <c r="G20" s="179">
        <v>180</v>
      </c>
      <c r="H20" s="179">
        <v>97</v>
      </c>
      <c r="I20" s="163">
        <f t="shared" si="1"/>
        <v>584</v>
      </c>
      <c r="J20" s="186">
        <v>98</v>
      </c>
      <c r="K20" s="25"/>
    </row>
    <row r="21" spans="2:11" x14ac:dyDescent="0.2">
      <c r="B21" s="25"/>
      <c r="C21" s="175">
        <v>1999</v>
      </c>
      <c r="D21" s="185">
        <v>4</v>
      </c>
      <c r="E21" s="179">
        <v>27</v>
      </c>
      <c r="F21" s="179">
        <v>262</v>
      </c>
      <c r="G21" s="179">
        <v>168</v>
      </c>
      <c r="H21" s="179">
        <v>109</v>
      </c>
      <c r="I21" s="163">
        <f t="shared" si="1"/>
        <v>570</v>
      </c>
      <c r="J21" s="186">
        <v>110</v>
      </c>
      <c r="K21" s="25"/>
    </row>
    <row r="22" spans="2:11" x14ac:dyDescent="0.2">
      <c r="B22" s="25"/>
      <c r="C22" s="175">
        <v>2000</v>
      </c>
      <c r="D22" s="185">
        <v>4</v>
      </c>
      <c r="E22" s="179">
        <v>27</v>
      </c>
      <c r="F22" s="179">
        <v>267</v>
      </c>
      <c r="G22" s="179">
        <v>166</v>
      </c>
      <c r="H22" s="179">
        <v>116</v>
      </c>
      <c r="I22" s="163">
        <f t="shared" si="1"/>
        <v>580</v>
      </c>
      <c r="J22" s="186">
        <v>109</v>
      </c>
      <c r="K22" s="25"/>
    </row>
    <row r="23" spans="2:11" x14ac:dyDescent="0.2">
      <c r="B23" s="25"/>
      <c r="C23" s="175"/>
      <c r="D23" s="185"/>
      <c r="E23" s="179"/>
      <c r="F23" s="179"/>
      <c r="G23" s="179"/>
      <c r="H23" s="179"/>
      <c r="I23" s="163"/>
      <c r="J23" s="186"/>
      <c r="K23" s="25"/>
    </row>
    <row r="24" spans="2:11" x14ac:dyDescent="0.2">
      <c r="B24" s="25"/>
      <c r="C24" s="175">
        <v>2001</v>
      </c>
      <c r="D24" s="185">
        <v>4</v>
      </c>
      <c r="E24" s="179">
        <v>27</v>
      </c>
      <c r="F24" s="179">
        <v>243</v>
      </c>
      <c r="G24" s="179">
        <v>153</v>
      </c>
      <c r="H24" s="179">
        <v>118</v>
      </c>
      <c r="I24" s="163">
        <f t="shared" si="1"/>
        <v>545</v>
      </c>
      <c r="J24" s="186">
        <v>115</v>
      </c>
      <c r="K24" s="25"/>
    </row>
    <row r="25" spans="2:11" x14ac:dyDescent="0.2">
      <c r="B25" s="25"/>
      <c r="C25" s="184">
        <v>2002</v>
      </c>
      <c r="D25" s="185">
        <v>4</v>
      </c>
      <c r="E25" s="179">
        <v>26</v>
      </c>
      <c r="F25" s="179">
        <v>213</v>
      </c>
      <c r="G25" s="179">
        <v>140</v>
      </c>
      <c r="H25" s="179">
        <v>125</v>
      </c>
      <c r="I25" s="163">
        <f t="shared" si="1"/>
        <v>508</v>
      </c>
      <c r="J25" s="186">
        <v>117</v>
      </c>
      <c r="K25" s="25"/>
    </row>
    <row r="26" spans="2:11" x14ac:dyDescent="0.2">
      <c r="B26" s="25"/>
      <c r="C26" s="184">
        <v>2003</v>
      </c>
      <c r="D26" s="185">
        <v>4</v>
      </c>
      <c r="E26" s="179">
        <v>23</v>
      </c>
      <c r="F26" s="179">
        <v>192</v>
      </c>
      <c r="G26" s="179">
        <v>130</v>
      </c>
      <c r="H26" s="179">
        <v>122</v>
      </c>
      <c r="I26" s="163">
        <f t="shared" si="1"/>
        <v>471</v>
      </c>
      <c r="J26" s="186">
        <v>106</v>
      </c>
      <c r="K26" s="25"/>
    </row>
    <row r="27" spans="2:11" x14ac:dyDescent="0.2">
      <c r="B27" s="25"/>
      <c r="C27" s="184">
        <v>2004</v>
      </c>
      <c r="D27" s="185">
        <v>3</v>
      </c>
      <c r="E27" s="179">
        <v>20</v>
      </c>
      <c r="F27" s="179">
        <v>180</v>
      </c>
      <c r="G27" s="179">
        <v>119</v>
      </c>
      <c r="H27" s="179">
        <v>124</v>
      </c>
      <c r="I27" s="163">
        <f t="shared" si="1"/>
        <v>446</v>
      </c>
      <c r="J27" s="186">
        <v>99</v>
      </c>
      <c r="K27" s="25"/>
    </row>
    <row r="28" spans="2:11" x14ac:dyDescent="0.2">
      <c r="B28" s="25"/>
      <c r="C28" s="184">
        <v>2005</v>
      </c>
      <c r="D28" s="185">
        <v>3</v>
      </c>
      <c r="E28" s="179">
        <v>18</v>
      </c>
      <c r="F28" s="179">
        <v>169</v>
      </c>
      <c r="G28" s="179">
        <v>115</v>
      </c>
      <c r="H28" s="179">
        <v>127</v>
      </c>
      <c r="I28" s="163">
        <f t="shared" si="1"/>
        <v>432</v>
      </c>
      <c r="J28" s="186">
        <v>99</v>
      </c>
      <c r="K28" s="25"/>
    </row>
    <row r="29" spans="2:11" x14ac:dyDescent="0.2">
      <c r="B29" s="25"/>
      <c r="C29" s="184"/>
      <c r="D29" s="185"/>
      <c r="E29" s="179"/>
      <c r="F29" s="179"/>
      <c r="G29" s="179"/>
      <c r="H29" s="179"/>
      <c r="I29" s="163"/>
      <c r="J29" s="186"/>
      <c r="K29" s="25"/>
    </row>
    <row r="30" spans="2:11" s="129" customFormat="1" x14ac:dyDescent="0.2">
      <c r="B30" s="122"/>
      <c r="C30" s="184">
        <v>2006</v>
      </c>
      <c r="D30" s="185">
        <v>3</v>
      </c>
      <c r="E30" s="179">
        <v>16</v>
      </c>
      <c r="F30" s="179">
        <v>160</v>
      </c>
      <c r="G30" s="179">
        <v>112</v>
      </c>
      <c r="H30" s="179">
        <v>134</v>
      </c>
      <c r="I30" s="163">
        <f t="shared" si="1"/>
        <v>425</v>
      </c>
      <c r="J30" s="186">
        <v>97</v>
      </c>
      <c r="K30" s="122"/>
    </row>
    <row r="31" spans="2:11" s="129" customFormat="1" x14ac:dyDescent="0.2">
      <c r="B31" s="122"/>
      <c r="C31" s="184">
        <v>2007</v>
      </c>
      <c r="D31" s="185">
        <v>5</v>
      </c>
      <c r="E31" s="179">
        <v>14</v>
      </c>
      <c r="F31" s="179">
        <v>156</v>
      </c>
      <c r="G31" s="179">
        <v>106</v>
      </c>
      <c r="H31" s="179">
        <v>138</v>
      </c>
      <c r="I31" s="179">
        <f t="shared" si="1"/>
        <v>419</v>
      </c>
      <c r="J31" s="186">
        <v>85</v>
      </c>
      <c r="K31" s="122"/>
    </row>
    <row r="32" spans="2:11" x14ac:dyDescent="0.2">
      <c r="B32" s="25"/>
      <c r="C32" s="175">
        <v>2008</v>
      </c>
      <c r="D32" s="179">
        <v>5</v>
      </c>
      <c r="E32" s="179">
        <v>13</v>
      </c>
      <c r="F32" s="179">
        <v>164</v>
      </c>
      <c r="G32" s="179">
        <v>96</v>
      </c>
      <c r="H32" s="179">
        <v>141</v>
      </c>
      <c r="I32" s="179">
        <f>SUM(D32:H32)</f>
        <v>419</v>
      </c>
      <c r="J32" s="179">
        <v>79</v>
      </c>
      <c r="K32" s="25"/>
    </row>
    <row r="33" spans="2:11" x14ac:dyDescent="0.2">
      <c r="B33" s="25"/>
      <c r="C33" s="175">
        <v>2009</v>
      </c>
      <c r="D33" s="179">
        <v>5</v>
      </c>
      <c r="E33" s="179">
        <v>12</v>
      </c>
      <c r="F33" s="179">
        <v>154</v>
      </c>
      <c r="G33" s="179">
        <v>95</v>
      </c>
      <c r="H33" s="179">
        <v>138</v>
      </c>
      <c r="I33" s="179">
        <f>SUM(D33:H33)</f>
        <v>404</v>
      </c>
      <c r="J33" s="179">
        <v>80</v>
      </c>
      <c r="K33" s="25"/>
    </row>
    <row r="34" spans="2:11" x14ac:dyDescent="0.2">
      <c r="B34" s="25"/>
      <c r="C34" s="175">
        <v>2010</v>
      </c>
      <c r="D34" s="179">
        <v>5</v>
      </c>
      <c r="E34" s="179">
        <v>12</v>
      </c>
      <c r="F34" s="179">
        <v>142</v>
      </c>
      <c r="G34" s="179">
        <v>85</v>
      </c>
      <c r="H34" s="179">
        <v>127</v>
      </c>
      <c r="I34" s="179">
        <f>SUM(D34:H34)</f>
        <v>371</v>
      </c>
      <c r="J34" s="179">
        <v>67</v>
      </c>
      <c r="K34" s="25"/>
    </row>
    <row r="35" spans="2:11" x14ac:dyDescent="0.2">
      <c r="B35" s="25"/>
      <c r="C35" s="175"/>
      <c r="D35" s="179"/>
      <c r="E35" s="179"/>
      <c r="F35" s="179"/>
      <c r="G35" s="179"/>
      <c r="H35" s="179"/>
      <c r="I35" s="179"/>
      <c r="J35" s="179"/>
      <c r="K35" s="25"/>
    </row>
    <row r="36" spans="2:11" x14ac:dyDescent="0.2">
      <c r="B36" s="25"/>
      <c r="C36" s="175">
        <v>2011</v>
      </c>
      <c r="D36" s="179">
        <v>3</v>
      </c>
      <c r="E36" s="179">
        <v>12</v>
      </c>
      <c r="F36" s="179">
        <v>136</v>
      </c>
      <c r="G36" s="179">
        <v>83</v>
      </c>
      <c r="H36" s="179">
        <v>123</v>
      </c>
      <c r="I36" s="179">
        <f t="shared" ref="I36:I43" si="2">SUM(D36:H36)</f>
        <v>357</v>
      </c>
      <c r="J36" s="185">
        <v>39</v>
      </c>
      <c r="K36" s="25"/>
    </row>
    <row r="37" spans="2:11" x14ac:dyDescent="0.2">
      <c r="B37" s="25"/>
      <c r="C37" s="175">
        <v>2012</v>
      </c>
      <c r="D37" s="179">
        <v>3</v>
      </c>
      <c r="E37" s="179">
        <v>12</v>
      </c>
      <c r="F37" s="179">
        <v>129</v>
      </c>
      <c r="G37" s="179">
        <v>78</v>
      </c>
      <c r="H37" s="179">
        <v>118</v>
      </c>
      <c r="I37" s="179">
        <f t="shared" si="2"/>
        <v>340</v>
      </c>
      <c r="J37" s="185">
        <v>36</v>
      </c>
      <c r="K37" s="25"/>
    </row>
    <row r="38" spans="2:11" x14ac:dyDescent="0.2">
      <c r="B38" s="25"/>
      <c r="C38" s="175">
        <v>2013</v>
      </c>
      <c r="D38" s="179">
        <v>3</v>
      </c>
      <c r="E38" s="179">
        <v>12</v>
      </c>
      <c r="F38" s="179">
        <v>125</v>
      </c>
      <c r="G38" s="179">
        <v>73</v>
      </c>
      <c r="H38" s="179">
        <v>117</v>
      </c>
      <c r="I38" s="179">
        <f t="shared" si="2"/>
        <v>330</v>
      </c>
      <c r="J38" s="185">
        <v>34</v>
      </c>
      <c r="K38" s="25"/>
    </row>
    <row r="39" spans="2:11" x14ac:dyDescent="0.2">
      <c r="B39" s="25"/>
      <c r="C39" s="175">
        <v>2014</v>
      </c>
      <c r="D39" s="179">
        <v>3</v>
      </c>
      <c r="E39" s="179">
        <v>10</v>
      </c>
      <c r="F39" s="179">
        <v>119</v>
      </c>
      <c r="G39" s="179">
        <v>66</v>
      </c>
      <c r="H39" s="179">
        <v>110</v>
      </c>
      <c r="I39" s="179">
        <f t="shared" si="2"/>
        <v>308</v>
      </c>
      <c r="J39" s="185">
        <v>29</v>
      </c>
      <c r="K39" s="25"/>
    </row>
    <row r="40" spans="2:11" x14ac:dyDescent="0.2">
      <c r="B40" s="25"/>
      <c r="C40" s="175">
        <v>2015</v>
      </c>
      <c r="D40" s="179">
        <v>3</v>
      </c>
      <c r="E40" s="179">
        <v>9</v>
      </c>
      <c r="F40" s="179">
        <v>111</v>
      </c>
      <c r="G40" s="179">
        <v>61</v>
      </c>
      <c r="H40" s="179">
        <v>118</v>
      </c>
      <c r="I40" s="179">
        <f t="shared" si="2"/>
        <v>302</v>
      </c>
      <c r="J40" s="185">
        <v>24</v>
      </c>
      <c r="K40" s="25"/>
    </row>
    <row r="41" spans="2:11" x14ac:dyDescent="0.2">
      <c r="B41" s="25"/>
      <c r="C41" s="175"/>
      <c r="D41" s="179"/>
      <c r="E41" s="179"/>
      <c r="F41" s="179"/>
      <c r="G41" s="179"/>
      <c r="H41" s="179"/>
      <c r="I41" s="179"/>
      <c r="J41" s="185"/>
      <c r="K41" s="25"/>
    </row>
    <row r="42" spans="2:11" x14ac:dyDescent="0.2">
      <c r="B42" s="25"/>
      <c r="C42" s="175">
        <v>2016</v>
      </c>
      <c r="D42" s="179">
        <v>4</v>
      </c>
      <c r="E42" s="179">
        <v>7</v>
      </c>
      <c r="F42" s="179">
        <v>95</v>
      </c>
      <c r="G42" s="179">
        <v>53</v>
      </c>
      <c r="H42" s="179">
        <v>117</v>
      </c>
      <c r="I42" s="179">
        <f t="shared" si="2"/>
        <v>276</v>
      </c>
      <c r="J42" s="185">
        <v>25</v>
      </c>
      <c r="K42" s="25"/>
    </row>
    <row r="43" spans="2:11" x14ac:dyDescent="0.2">
      <c r="B43" s="25"/>
      <c r="C43" s="175">
        <v>2017</v>
      </c>
      <c r="D43" s="179">
        <v>3</v>
      </c>
      <c r="E43" s="179">
        <v>8</v>
      </c>
      <c r="F43" s="179">
        <v>85</v>
      </c>
      <c r="G43" s="179">
        <v>52</v>
      </c>
      <c r="H43" s="179">
        <v>118</v>
      </c>
      <c r="I43" s="179">
        <f t="shared" si="2"/>
        <v>266</v>
      </c>
      <c r="J43" s="185">
        <v>23</v>
      </c>
      <c r="K43" s="25"/>
    </row>
    <row r="44" spans="2:11" x14ac:dyDescent="0.2">
      <c r="B44" s="25"/>
      <c r="C44" s="175">
        <v>2018</v>
      </c>
      <c r="D44" s="179">
        <v>3</v>
      </c>
      <c r="E44" s="179">
        <v>8</v>
      </c>
      <c r="F44" s="179">
        <v>76</v>
      </c>
      <c r="G44" s="179">
        <v>46</v>
      </c>
      <c r="H44" s="179">
        <v>117</v>
      </c>
      <c r="I44" s="179">
        <f>SUM(D44:H44)</f>
        <v>250</v>
      </c>
      <c r="J44" s="185">
        <v>21</v>
      </c>
      <c r="K44" s="25"/>
    </row>
    <row r="45" spans="2:11" x14ac:dyDescent="0.2">
      <c r="B45" s="25"/>
      <c r="C45" s="175">
        <v>2019</v>
      </c>
      <c r="D45" s="179">
        <v>3</v>
      </c>
      <c r="E45" s="179">
        <v>6</v>
      </c>
      <c r="F45" s="179">
        <v>74</v>
      </c>
      <c r="G45" s="179">
        <v>42</v>
      </c>
      <c r="H45" s="179">
        <v>115</v>
      </c>
      <c r="I45" s="179">
        <f>SUM(D45:H45)</f>
        <v>240</v>
      </c>
      <c r="J45" s="185">
        <v>20</v>
      </c>
      <c r="K45" s="25"/>
    </row>
    <row r="46" spans="2:11" x14ac:dyDescent="0.2">
      <c r="B46" s="25"/>
      <c r="C46" s="175">
        <v>2020</v>
      </c>
      <c r="D46" s="179">
        <v>3</v>
      </c>
      <c r="E46" s="179">
        <v>6</v>
      </c>
      <c r="F46" s="179">
        <v>63</v>
      </c>
      <c r="G46" s="179">
        <v>38</v>
      </c>
      <c r="H46" s="179">
        <v>117</v>
      </c>
      <c r="I46" s="179">
        <f>SUM(D46:H46)</f>
        <v>227</v>
      </c>
      <c r="J46" s="185">
        <v>20</v>
      </c>
      <c r="K46" s="25"/>
    </row>
    <row r="47" spans="2:11" x14ac:dyDescent="0.2">
      <c r="B47" s="25"/>
      <c r="C47" s="175"/>
      <c r="D47" s="179"/>
      <c r="E47" s="179"/>
      <c r="F47" s="179"/>
      <c r="G47" s="179"/>
      <c r="H47" s="179"/>
      <c r="I47" s="179"/>
      <c r="J47" s="185"/>
      <c r="K47" s="25"/>
    </row>
    <row r="48" spans="2:11" x14ac:dyDescent="0.2">
      <c r="B48" s="25"/>
      <c r="C48" s="175">
        <v>2021</v>
      </c>
      <c r="D48" s="179">
        <v>3</v>
      </c>
      <c r="E48" s="179">
        <v>7</v>
      </c>
      <c r="F48" s="179">
        <v>58</v>
      </c>
      <c r="G48" s="179">
        <v>33</v>
      </c>
      <c r="H48" s="179">
        <v>114</v>
      </c>
      <c r="I48" s="179">
        <f>SUM(D48:H48)</f>
        <v>215</v>
      </c>
      <c r="J48" s="185">
        <v>18</v>
      </c>
      <c r="K48" s="25"/>
    </row>
    <row r="49" spans="2:11" x14ac:dyDescent="0.2">
      <c r="B49" s="25"/>
      <c r="C49" s="175">
        <v>2022</v>
      </c>
      <c r="D49" s="179">
        <v>3</v>
      </c>
      <c r="E49" s="179">
        <v>8</v>
      </c>
      <c r="F49" s="179">
        <v>54</v>
      </c>
      <c r="G49" s="179">
        <v>29</v>
      </c>
      <c r="H49" s="179">
        <v>114</v>
      </c>
      <c r="I49" s="179">
        <f>SUM(D49:H49)</f>
        <v>208</v>
      </c>
      <c r="J49" s="185">
        <v>18</v>
      </c>
      <c r="K49" s="25"/>
    </row>
    <row r="50" spans="2:11" x14ac:dyDescent="0.2">
      <c r="B50" s="25"/>
      <c r="C50" s="187">
        <v>2023</v>
      </c>
      <c r="D50" s="180">
        <v>3</v>
      </c>
      <c r="E50" s="180">
        <v>8</v>
      </c>
      <c r="F50" s="180">
        <v>49</v>
      </c>
      <c r="G50" s="180">
        <v>27</v>
      </c>
      <c r="H50" s="180">
        <v>112</v>
      </c>
      <c r="I50" s="179">
        <f>SUM(D50:H50)</f>
        <v>199</v>
      </c>
      <c r="J50" s="188">
        <v>18</v>
      </c>
      <c r="K50" s="25"/>
    </row>
    <row r="51" spans="2:11" x14ac:dyDescent="0.2">
      <c r="B51" s="25"/>
      <c r="C51" s="175"/>
      <c r="D51" s="179"/>
      <c r="E51" s="179"/>
      <c r="F51" s="179"/>
      <c r="G51" s="179"/>
      <c r="H51" s="179"/>
      <c r="I51" s="294"/>
      <c r="J51" s="185"/>
      <c r="K51" s="25"/>
    </row>
    <row r="52" spans="2:11" x14ac:dyDescent="0.2">
      <c r="B52" s="25"/>
      <c r="C52" s="175"/>
      <c r="D52" s="179"/>
      <c r="E52" s="179"/>
      <c r="F52" s="179"/>
      <c r="G52" s="179"/>
      <c r="H52" s="179"/>
      <c r="I52" s="179"/>
      <c r="J52" s="185"/>
      <c r="K52" s="25"/>
    </row>
    <row r="53" spans="2:11" x14ac:dyDescent="0.2">
      <c r="C53" s="140" t="s">
        <v>69</v>
      </c>
    </row>
    <row r="54" spans="2:11" ht="14.25" x14ac:dyDescent="0.2">
      <c r="B54" s="149"/>
      <c r="C54" s="17" t="s">
        <v>87</v>
      </c>
    </row>
    <row r="55" spans="2:11" ht="24.75" customHeight="1" x14ac:dyDescent="0.2">
      <c r="B55" s="149"/>
      <c r="C55" s="338" t="s">
        <v>96</v>
      </c>
      <c r="D55" s="339"/>
      <c r="E55" s="339"/>
      <c r="F55" s="339"/>
      <c r="G55" s="339"/>
      <c r="H55" s="339"/>
      <c r="I55" s="339"/>
      <c r="J55" s="339"/>
    </row>
    <row r="56" spans="2:11" ht="14.25" x14ac:dyDescent="0.2">
      <c r="B56" s="149"/>
      <c r="C56" s="17" t="s">
        <v>71</v>
      </c>
    </row>
    <row r="57" spans="2:11" ht="14.25" x14ac:dyDescent="0.2">
      <c r="B57" s="149"/>
      <c r="C57" s="17" t="s">
        <v>73</v>
      </c>
    </row>
    <row r="58" spans="2:11" ht="14.25" x14ac:dyDescent="0.2">
      <c r="B58" s="149"/>
    </row>
    <row r="59" spans="2:11" ht="14.25" x14ac:dyDescent="0.2">
      <c r="B59" s="149"/>
      <c r="C59" s="133" t="s">
        <v>103</v>
      </c>
    </row>
    <row r="60" spans="2:11" ht="14.25" x14ac:dyDescent="0.2">
      <c r="B60" s="149"/>
    </row>
    <row r="61" spans="2:11" ht="14.25" x14ac:dyDescent="0.2">
      <c r="B61" s="149"/>
    </row>
    <row r="62" spans="2:11" ht="14.25" x14ac:dyDescent="0.2">
      <c r="B62" s="149"/>
    </row>
    <row r="63" spans="2:11" ht="14.25" x14ac:dyDescent="0.2">
      <c r="B63" s="149"/>
    </row>
    <row r="64" spans="2:11" ht="14.25" x14ac:dyDescent="0.2">
      <c r="B64" s="149"/>
    </row>
    <row r="65" spans="2:13" ht="14.25" x14ac:dyDescent="0.2">
      <c r="B65" s="149"/>
    </row>
    <row r="66" spans="2:13" ht="14.25" x14ac:dyDescent="0.2">
      <c r="B66" s="149"/>
    </row>
    <row r="67" spans="2:13" ht="14.25" x14ac:dyDescent="0.2">
      <c r="B67" s="149"/>
    </row>
    <row r="68" spans="2:13" ht="14.25" x14ac:dyDescent="0.2">
      <c r="B68" s="149"/>
    </row>
    <row r="69" spans="2:13" ht="14.25" x14ac:dyDescent="0.2">
      <c r="B69" s="149"/>
    </row>
    <row r="70" spans="2:13" ht="14.25" x14ac:dyDescent="0.2">
      <c r="B70" s="149"/>
    </row>
    <row r="71" spans="2:13" ht="14.25" x14ac:dyDescent="0.2">
      <c r="B71" s="149"/>
    </row>
    <row r="72" spans="2:13" ht="14.25" x14ac:dyDescent="0.2">
      <c r="B72" s="149"/>
    </row>
    <row r="73" spans="2:13" ht="14.25" x14ac:dyDescent="0.2">
      <c r="B73" s="149"/>
    </row>
    <row r="74" spans="2:13" ht="14.25" x14ac:dyDescent="0.2">
      <c r="B74" s="149"/>
    </row>
    <row r="75" spans="2:13" ht="14.25" x14ac:dyDescent="0.2">
      <c r="B75" s="149"/>
    </row>
    <row r="76" spans="2:13" ht="14.25" x14ac:dyDescent="0.2">
      <c r="B76" s="149"/>
    </row>
    <row r="77" spans="2:13" ht="14.25" x14ac:dyDescent="0.2">
      <c r="B77" s="149"/>
    </row>
    <row r="78" spans="2:13" ht="14.25" x14ac:dyDescent="0.2">
      <c r="B78" s="150"/>
    </row>
    <row r="79" spans="2:13" ht="9" customHeight="1" x14ac:dyDescent="0.2">
      <c r="B79" s="47"/>
      <c r="C79" s="47"/>
      <c r="D79" s="47"/>
      <c r="E79" s="47"/>
      <c r="F79" s="47"/>
      <c r="G79" s="47"/>
      <c r="H79" s="47"/>
      <c r="I79" s="47"/>
    </row>
    <row r="80" spans="2:13" x14ac:dyDescent="0.2">
      <c r="B80" s="340">
        <v>92</v>
      </c>
      <c r="C80" s="340"/>
      <c r="D80" s="340"/>
      <c r="E80" s="340"/>
      <c r="F80" s="340"/>
      <c r="G80" s="340"/>
      <c r="H80" s="340"/>
      <c r="I80" s="340"/>
      <c r="J80" s="340"/>
      <c r="K80" s="340"/>
      <c r="L80" s="134"/>
      <c r="M80" s="134"/>
    </row>
  </sheetData>
  <mergeCells count="3">
    <mergeCell ref="D7:J7"/>
    <mergeCell ref="C55:J55"/>
    <mergeCell ref="B80:K80"/>
  </mergeCells>
  <phoneticPr fontId="6" type="noConversion"/>
  <printOptions horizontalCentered="1"/>
  <pageMargins left="1" right="1" top="1" bottom="1" header="0.5" footer="0.24"/>
  <pageSetup scale="72" orientation="portrait" r:id="rId1"/>
  <headerFooter alignWithMargins="0"/>
  <ignoredErrors>
    <ignoredError sqref="I12:I50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24580" r:id="rId4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95250</xdr:rowOff>
              </from>
              <to>
                <xdr:col>2</xdr:col>
                <xdr:colOff>581025</xdr:colOff>
                <xdr:row>4</xdr:row>
                <xdr:rowOff>47625</xdr:rowOff>
              </to>
            </anchor>
          </objectPr>
        </oleObject>
      </mc:Choice>
      <mc:Fallback>
        <oleObject progId="MSPhotoEd.3" shapeId="24580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B2:AS74"/>
  <sheetViews>
    <sheetView zoomScaleNormal="100" zoomScaleSheetLayoutView="100" workbookViewId="0">
      <selection activeCell="L12" sqref="L12"/>
    </sheetView>
  </sheetViews>
  <sheetFormatPr defaultRowHeight="12.75" x14ac:dyDescent="0.2"/>
  <cols>
    <col min="1" max="1" width="2.85546875" style="17" customWidth="1"/>
    <col min="2" max="2" width="6.7109375" style="17" customWidth="1"/>
    <col min="3" max="3" width="11" style="17" customWidth="1"/>
    <col min="4" max="4" width="11.7109375" style="17" customWidth="1"/>
    <col min="5" max="6" width="10.28515625" style="17" customWidth="1"/>
    <col min="7" max="7" width="9.85546875" style="17" customWidth="1"/>
    <col min="8" max="8" width="7.28515625" style="17" hidden="1" customWidth="1"/>
    <col min="9" max="10" width="11.85546875" style="17" customWidth="1"/>
    <col min="11" max="12" width="10.28515625" style="17" customWidth="1"/>
    <col min="13" max="13" width="5.7109375" style="17" customWidth="1"/>
    <col min="14" max="14" width="9" style="17" customWidth="1"/>
    <col min="15" max="16384" width="9.140625" style="17"/>
  </cols>
  <sheetData>
    <row r="2" spans="2:45" x14ac:dyDescent="0.2">
      <c r="I2" s="140" t="s">
        <v>253</v>
      </c>
      <c r="J2" s="140"/>
    </row>
    <row r="4" spans="2:45" ht="15" x14ac:dyDescent="0.25">
      <c r="F4" s="155"/>
      <c r="G4" s="155"/>
      <c r="H4" s="155"/>
      <c r="I4" s="155"/>
      <c r="J4" s="155"/>
      <c r="K4" s="155"/>
      <c r="L4" s="155"/>
      <c r="M4" s="211"/>
      <c r="N4" s="211"/>
    </row>
    <row r="5" spans="2:45" ht="9" customHeight="1" x14ac:dyDescent="0.2"/>
    <row r="8" spans="2:45" ht="15.75" x14ac:dyDescent="0.25">
      <c r="B8" s="130">
        <v>12.08</v>
      </c>
      <c r="C8" s="311" t="s">
        <v>261</v>
      </c>
      <c r="D8" s="311"/>
      <c r="E8" s="311"/>
      <c r="F8" s="311"/>
      <c r="G8" s="311"/>
      <c r="H8" s="311"/>
      <c r="I8" s="311"/>
      <c r="J8" s="311"/>
      <c r="K8" s="311"/>
      <c r="L8" s="311"/>
      <c r="M8" s="142"/>
      <c r="N8" s="142"/>
    </row>
    <row r="10" spans="2:45" x14ac:dyDescent="0.2">
      <c r="M10" s="25"/>
      <c r="N10" s="25"/>
    </row>
    <row r="11" spans="2:45" ht="52.5" x14ac:dyDescent="0.2">
      <c r="C11" s="173" t="s">
        <v>0</v>
      </c>
      <c r="D11" s="173" t="s">
        <v>107</v>
      </c>
      <c r="E11" s="173" t="s">
        <v>108</v>
      </c>
      <c r="F11" s="174" t="s">
        <v>109</v>
      </c>
      <c r="G11" s="174" t="s">
        <v>110</v>
      </c>
      <c r="H11" s="174" t="s">
        <v>24</v>
      </c>
      <c r="I11" s="174" t="s">
        <v>238</v>
      </c>
      <c r="J11" s="174" t="s">
        <v>228</v>
      </c>
      <c r="K11" s="174" t="s">
        <v>57</v>
      </c>
      <c r="L11" s="174" t="s">
        <v>25</v>
      </c>
      <c r="M11" s="156"/>
      <c r="N11" s="156"/>
    </row>
    <row r="12" spans="2:45" x14ac:dyDescent="0.2">
      <c r="C12" s="215">
        <v>1991</v>
      </c>
      <c r="D12" s="216"/>
      <c r="E12" s="139">
        <f>9426</f>
        <v>9426</v>
      </c>
      <c r="F12" s="139">
        <v>13643</v>
      </c>
      <c r="G12" s="139">
        <v>631</v>
      </c>
      <c r="H12" s="139"/>
      <c r="I12" s="139"/>
      <c r="J12" s="139"/>
      <c r="K12" s="139">
        <f>SUM(E12:H12)</f>
        <v>23700</v>
      </c>
      <c r="L12" s="217" t="e">
        <f>(K12/#REF!-1)*100</f>
        <v>#REF!</v>
      </c>
      <c r="AS12" s="17">
        <v>653</v>
      </c>
    </row>
    <row r="13" spans="2:45" ht="14.25" x14ac:dyDescent="0.2">
      <c r="C13" s="222">
        <v>1992</v>
      </c>
      <c r="D13" s="295" t="s">
        <v>64</v>
      </c>
      <c r="E13" s="163">
        <f>10031</f>
        <v>10031</v>
      </c>
      <c r="F13" s="163">
        <v>14371</v>
      </c>
      <c r="G13" s="163">
        <v>645</v>
      </c>
      <c r="H13" s="163"/>
      <c r="I13" s="190" t="s">
        <v>177</v>
      </c>
      <c r="J13" s="190" t="s">
        <v>177</v>
      </c>
      <c r="K13" s="163">
        <f>SUM(D13:J13)</f>
        <v>25047</v>
      </c>
      <c r="L13" s="189">
        <f>(K13/K12-1)*100</f>
        <v>5.683544303797472</v>
      </c>
      <c r="AS13" s="17">
        <v>3723.3</v>
      </c>
    </row>
    <row r="14" spans="2:45" x14ac:dyDescent="0.2">
      <c r="C14" s="222">
        <v>1993</v>
      </c>
      <c r="D14" s="296">
        <v>7529</v>
      </c>
      <c r="E14" s="163">
        <v>3672</v>
      </c>
      <c r="F14" s="163">
        <v>16449</v>
      </c>
      <c r="G14" s="163">
        <v>678</v>
      </c>
      <c r="H14" s="163">
        <v>16</v>
      </c>
      <c r="I14" s="190" t="s">
        <v>177</v>
      </c>
      <c r="J14" s="190" t="s">
        <v>177</v>
      </c>
      <c r="K14" s="163">
        <f>SUM(D14:J14)</f>
        <v>28344</v>
      </c>
      <c r="L14" s="189">
        <v>13.1</v>
      </c>
      <c r="AS14" s="17">
        <v>3382</v>
      </c>
    </row>
    <row r="15" spans="2:45" x14ac:dyDescent="0.2">
      <c r="C15" s="222">
        <v>1994</v>
      </c>
      <c r="D15" s="296">
        <v>8849</v>
      </c>
      <c r="E15" s="163">
        <v>3081</v>
      </c>
      <c r="F15" s="163">
        <v>18920</v>
      </c>
      <c r="G15" s="163">
        <v>730</v>
      </c>
      <c r="H15" s="163">
        <v>32</v>
      </c>
      <c r="I15" s="190" t="s">
        <v>177</v>
      </c>
      <c r="J15" s="190" t="s">
        <v>177</v>
      </c>
      <c r="K15" s="163">
        <f>SUM(D15:J15)</f>
        <v>31612</v>
      </c>
      <c r="L15" s="189">
        <f t="shared" ref="L15:L28" si="0">(K15/K14-1)*100</f>
        <v>11.529777025119948</v>
      </c>
    </row>
    <row r="16" spans="2:45" x14ac:dyDescent="0.2">
      <c r="C16" s="222">
        <v>1995</v>
      </c>
      <c r="D16" s="296">
        <v>8675</v>
      </c>
      <c r="E16" s="163">
        <v>2884</v>
      </c>
      <c r="F16" s="163">
        <v>21765</v>
      </c>
      <c r="G16" s="163">
        <v>658</v>
      </c>
      <c r="H16" s="163"/>
      <c r="I16" s="190" t="s">
        <v>177</v>
      </c>
      <c r="J16" s="190" t="s">
        <v>177</v>
      </c>
      <c r="K16" s="163">
        <f>SUM(D16:J16)</f>
        <v>33982</v>
      </c>
      <c r="L16" s="189">
        <f t="shared" si="0"/>
        <v>7.4971529798810499</v>
      </c>
    </row>
    <row r="17" spans="2:14" x14ac:dyDescent="0.2">
      <c r="C17" s="222"/>
      <c r="D17" s="296"/>
      <c r="E17" s="163"/>
      <c r="F17" s="163"/>
      <c r="G17" s="163"/>
      <c r="H17" s="163"/>
      <c r="I17" s="190"/>
      <c r="J17" s="190"/>
      <c r="K17" s="163"/>
      <c r="L17" s="189"/>
    </row>
    <row r="18" spans="2:14" x14ac:dyDescent="0.2">
      <c r="C18" s="222">
        <v>1996</v>
      </c>
      <c r="D18" s="296">
        <v>9109</v>
      </c>
      <c r="E18" s="163">
        <v>3052</v>
      </c>
      <c r="F18" s="163">
        <v>25069</v>
      </c>
      <c r="G18" s="163">
        <v>689</v>
      </c>
      <c r="H18" s="163"/>
      <c r="I18" s="190" t="s">
        <v>177</v>
      </c>
      <c r="J18" s="190" t="s">
        <v>177</v>
      </c>
      <c r="K18" s="163">
        <f>SUM(D18:J18)</f>
        <v>37919</v>
      </c>
      <c r="L18" s="189">
        <f>(K18/K16-1)*100</f>
        <v>11.585545288682253</v>
      </c>
    </row>
    <row r="19" spans="2:14" x14ac:dyDescent="0.2">
      <c r="C19" s="222">
        <v>1997</v>
      </c>
      <c r="D19" s="296">
        <v>9728</v>
      </c>
      <c r="E19" s="163">
        <v>3087</v>
      </c>
      <c r="F19" s="163">
        <v>27640</v>
      </c>
      <c r="G19" s="163">
        <v>708</v>
      </c>
      <c r="H19" s="163"/>
      <c r="I19" s="190" t="s">
        <v>177</v>
      </c>
      <c r="J19" s="190" t="s">
        <v>177</v>
      </c>
      <c r="K19" s="163">
        <f>SUM(D19:J19)</f>
        <v>41163</v>
      </c>
      <c r="L19" s="189">
        <f>(K19/K18-1)*100</f>
        <v>8.5550779292702828</v>
      </c>
    </row>
    <row r="20" spans="2:14" x14ac:dyDescent="0.2">
      <c r="C20" s="222">
        <v>1998</v>
      </c>
      <c r="D20" s="296">
        <v>9778</v>
      </c>
      <c r="E20" s="163">
        <v>3289</v>
      </c>
      <c r="F20" s="163">
        <v>31364</v>
      </c>
      <c r="G20" s="163">
        <v>738</v>
      </c>
      <c r="H20" s="163"/>
      <c r="I20" s="190" t="s">
        <v>177</v>
      </c>
      <c r="J20" s="190" t="s">
        <v>177</v>
      </c>
      <c r="K20" s="163">
        <f>SUM(D20:J20)</f>
        <v>45169</v>
      </c>
      <c r="L20" s="189">
        <f t="shared" si="0"/>
        <v>9.7320409105264396</v>
      </c>
    </row>
    <row r="21" spans="2:14" x14ac:dyDescent="0.2">
      <c r="C21" s="222">
        <v>1999</v>
      </c>
      <c r="D21" s="296">
        <v>11342</v>
      </c>
      <c r="E21" s="163">
        <v>3614</v>
      </c>
      <c r="F21" s="163">
        <v>35188</v>
      </c>
      <c r="G21" s="163">
        <v>807</v>
      </c>
      <c r="H21" s="163"/>
      <c r="I21" s="190" t="s">
        <v>177</v>
      </c>
      <c r="J21" s="190" t="s">
        <v>177</v>
      </c>
      <c r="K21" s="163">
        <f>SUM(D21:J21)</f>
        <v>50951</v>
      </c>
      <c r="L21" s="189">
        <f t="shared" si="0"/>
        <v>12.800814718058851</v>
      </c>
    </row>
    <row r="22" spans="2:14" x14ac:dyDescent="0.2">
      <c r="C22" s="175">
        <v>2000</v>
      </c>
      <c r="D22" s="179">
        <v>13740</v>
      </c>
      <c r="E22" s="179">
        <v>3865</v>
      </c>
      <c r="F22" s="179">
        <v>41361</v>
      </c>
      <c r="G22" s="179">
        <v>956</v>
      </c>
      <c r="H22" s="179"/>
      <c r="I22" s="190" t="s">
        <v>177</v>
      </c>
      <c r="J22" s="190" t="s">
        <v>177</v>
      </c>
      <c r="K22" s="163">
        <f>SUM(D22:J22)</f>
        <v>59922</v>
      </c>
      <c r="L22" s="177">
        <f t="shared" si="0"/>
        <v>17.607112716139039</v>
      </c>
    </row>
    <row r="23" spans="2:14" x14ac:dyDescent="0.2">
      <c r="C23" s="175"/>
      <c r="D23" s="179"/>
      <c r="E23" s="179"/>
      <c r="F23" s="179"/>
      <c r="G23" s="179"/>
      <c r="H23" s="179"/>
      <c r="I23" s="190"/>
      <c r="J23" s="190"/>
      <c r="K23" s="163"/>
      <c r="L23" s="177"/>
    </row>
    <row r="24" spans="2:14" x14ac:dyDescent="0.2">
      <c r="B24" s="25"/>
      <c r="C24" s="175">
        <v>2001</v>
      </c>
      <c r="D24" s="179">
        <v>14421</v>
      </c>
      <c r="E24" s="179">
        <v>3983</v>
      </c>
      <c r="F24" s="179">
        <v>45030</v>
      </c>
      <c r="G24" s="179">
        <v>1061</v>
      </c>
      <c r="H24" s="179"/>
      <c r="I24" s="190" t="s">
        <v>177</v>
      </c>
      <c r="J24" s="190" t="s">
        <v>177</v>
      </c>
      <c r="K24" s="163">
        <f>SUM(D24:J24)</f>
        <v>64495</v>
      </c>
      <c r="L24" s="177">
        <f>(K24/K22-1)*100</f>
        <v>7.6315877307165936</v>
      </c>
      <c r="M24" s="25"/>
      <c r="N24" s="25"/>
    </row>
    <row r="25" spans="2:14" x14ac:dyDescent="0.2">
      <c r="B25" s="25"/>
      <c r="C25" s="175">
        <v>2002</v>
      </c>
      <c r="D25" s="179">
        <v>14676</v>
      </c>
      <c r="E25" s="179">
        <v>4081</v>
      </c>
      <c r="F25" s="179">
        <v>45448</v>
      </c>
      <c r="G25" s="179">
        <v>1054</v>
      </c>
      <c r="H25" s="179"/>
      <c r="I25" s="190" t="s">
        <v>177</v>
      </c>
      <c r="J25" s="190" t="s">
        <v>177</v>
      </c>
      <c r="K25" s="163">
        <f>SUM(D25:J25)</f>
        <v>65259</v>
      </c>
      <c r="L25" s="177">
        <f>(K25/K24-1)*100</f>
        <v>1.1845879525544722</v>
      </c>
      <c r="M25" s="25"/>
      <c r="N25" s="25"/>
    </row>
    <row r="26" spans="2:14" x14ac:dyDescent="0.2">
      <c r="C26" s="175">
        <v>2003</v>
      </c>
      <c r="D26" s="169">
        <v>15104</v>
      </c>
      <c r="E26" s="169">
        <v>4382</v>
      </c>
      <c r="F26" s="169">
        <v>47430</v>
      </c>
      <c r="G26" s="169">
        <v>1162</v>
      </c>
      <c r="H26" s="25"/>
      <c r="I26" s="190" t="s">
        <v>177</v>
      </c>
      <c r="J26" s="190" t="s">
        <v>177</v>
      </c>
      <c r="K26" s="163">
        <f>SUM(D26:J26)</f>
        <v>68078</v>
      </c>
      <c r="L26" s="177">
        <f t="shared" si="0"/>
        <v>4.3197106912456595</v>
      </c>
      <c r="M26" s="25"/>
      <c r="N26" s="25"/>
    </row>
    <row r="27" spans="2:14" x14ac:dyDescent="0.2">
      <c r="C27" s="175">
        <v>2004</v>
      </c>
      <c r="D27" s="169">
        <v>13462</v>
      </c>
      <c r="E27" s="169">
        <v>4763</v>
      </c>
      <c r="F27" s="169">
        <v>50618</v>
      </c>
      <c r="G27" s="169">
        <v>1290</v>
      </c>
      <c r="H27" s="25"/>
      <c r="I27" s="190" t="s">
        <v>177</v>
      </c>
      <c r="J27" s="190" t="s">
        <v>177</v>
      </c>
      <c r="K27" s="163">
        <f>SUM(D27:J27)</f>
        <v>70133</v>
      </c>
      <c r="L27" s="177">
        <f t="shared" si="0"/>
        <v>3.0185963159904849</v>
      </c>
      <c r="M27" s="25"/>
      <c r="N27" s="25"/>
    </row>
    <row r="28" spans="2:14" x14ac:dyDescent="0.2">
      <c r="C28" s="175">
        <v>2005</v>
      </c>
      <c r="D28" s="169">
        <v>13307</v>
      </c>
      <c r="E28" s="169">
        <v>5046</v>
      </c>
      <c r="F28" s="169">
        <v>55083</v>
      </c>
      <c r="G28" s="169">
        <v>1469</v>
      </c>
      <c r="H28" s="25"/>
      <c r="I28" s="190" t="s">
        <v>177</v>
      </c>
      <c r="J28" s="190" t="s">
        <v>177</v>
      </c>
      <c r="K28" s="163">
        <f>SUM(D28:J28)</f>
        <v>74905</v>
      </c>
      <c r="L28" s="177">
        <f t="shared" si="0"/>
        <v>6.8042148489298793</v>
      </c>
      <c r="M28" s="25"/>
      <c r="N28" s="25"/>
    </row>
    <row r="29" spans="2:14" x14ac:dyDescent="0.2">
      <c r="C29" s="175"/>
      <c r="D29" s="169"/>
      <c r="E29" s="169"/>
      <c r="F29" s="169"/>
      <c r="G29" s="169"/>
      <c r="H29" s="25"/>
      <c r="I29" s="190"/>
      <c r="J29" s="190"/>
      <c r="K29" s="163"/>
      <c r="L29" s="177"/>
      <c r="M29" s="25"/>
      <c r="N29" s="25"/>
    </row>
    <row r="30" spans="2:14" x14ac:dyDescent="0.2">
      <c r="C30" s="175">
        <v>2006</v>
      </c>
      <c r="D30" s="169">
        <v>13642</v>
      </c>
      <c r="E30" s="169">
        <v>5569</v>
      </c>
      <c r="F30" s="169">
        <v>62572</v>
      </c>
      <c r="G30" s="169">
        <v>1749</v>
      </c>
      <c r="H30" s="25"/>
      <c r="I30" s="190" t="s">
        <v>177</v>
      </c>
      <c r="J30" s="190" t="s">
        <v>177</v>
      </c>
      <c r="K30" s="163">
        <f>SUM(D30:J30)</f>
        <v>83532</v>
      </c>
      <c r="L30" s="177">
        <f>(K30/K28-1)*100</f>
        <v>11.517255189907205</v>
      </c>
      <c r="M30" s="25"/>
      <c r="N30" s="25"/>
    </row>
    <row r="31" spans="2:14" x14ac:dyDescent="0.2">
      <c r="C31" s="175">
        <v>2007</v>
      </c>
      <c r="D31" s="169">
        <v>11589</v>
      </c>
      <c r="E31" s="169">
        <v>5549</v>
      </c>
      <c r="F31" s="169">
        <v>67911</v>
      </c>
      <c r="G31" s="169">
        <v>2060</v>
      </c>
      <c r="H31" s="25"/>
      <c r="I31" s="190" t="s">
        <v>177</v>
      </c>
      <c r="J31" s="190" t="s">
        <v>177</v>
      </c>
      <c r="K31" s="163">
        <f>SUM(D31:J31)</f>
        <v>87109</v>
      </c>
      <c r="L31" s="177">
        <f>(K31/K30-1)*100</f>
        <v>4.2821912560455866</v>
      </c>
      <c r="M31" s="25"/>
      <c r="N31" s="25"/>
    </row>
    <row r="32" spans="2:14" x14ac:dyDescent="0.2">
      <c r="C32" s="175">
        <v>2008</v>
      </c>
      <c r="D32" s="169">
        <v>11115</v>
      </c>
      <c r="E32" s="169">
        <v>6027</v>
      </c>
      <c r="F32" s="169">
        <v>74107</v>
      </c>
      <c r="G32" s="169">
        <v>2444</v>
      </c>
      <c r="H32" s="25"/>
      <c r="I32" s="190" t="s">
        <v>177</v>
      </c>
      <c r="J32" s="190" t="s">
        <v>177</v>
      </c>
      <c r="K32" s="163">
        <f>SUM(D32:J32)</f>
        <v>93693</v>
      </c>
      <c r="L32" s="177">
        <f t="shared" ref="L32:L46" si="1">(K32/K31-1)*100</f>
        <v>7.5583464395183153</v>
      </c>
      <c r="M32" s="25"/>
      <c r="N32" s="25"/>
    </row>
    <row r="33" spans="3:14" x14ac:dyDescent="0.2">
      <c r="C33" s="175">
        <v>2009</v>
      </c>
      <c r="D33" s="169">
        <v>10202</v>
      </c>
      <c r="E33" s="169">
        <v>6071</v>
      </c>
      <c r="F33" s="169">
        <v>73967</v>
      </c>
      <c r="G33" s="169">
        <v>2627</v>
      </c>
      <c r="H33" s="25"/>
      <c r="I33" s="190" t="s">
        <v>177</v>
      </c>
      <c r="J33" s="190" t="s">
        <v>177</v>
      </c>
      <c r="K33" s="163">
        <f>SUM(D33:J33)</f>
        <v>92867</v>
      </c>
      <c r="L33" s="177">
        <f t="shared" si="1"/>
        <v>-0.88160268109677142</v>
      </c>
      <c r="M33" s="25"/>
      <c r="N33" s="25"/>
    </row>
    <row r="34" spans="3:14" x14ac:dyDescent="0.2">
      <c r="C34" s="175">
        <v>2010</v>
      </c>
      <c r="D34" s="169">
        <v>9651</v>
      </c>
      <c r="E34" s="169">
        <v>5829</v>
      </c>
      <c r="F34" s="169">
        <v>72994</v>
      </c>
      <c r="G34" s="169">
        <v>2732</v>
      </c>
      <c r="H34" s="25"/>
      <c r="I34" s="190" t="s">
        <v>177</v>
      </c>
      <c r="J34" s="190" t="s">
        <v>177</v>
      </c>
      <c r="K34" s="163">
        <f>SUM(D34:J34)</f>
        <v>91206</v>
      </c>
      <c r="L34" s="177">
        <f t="shared" si="1"/>
        <v>-1.7885793661903571</v>
      </c>
      <c r="M34" s="25"/>
      <c r="N34" s="25"/>
    </row>
    <row r="35" spans="3:14" x14ac:dyDescent="0.2">
      <c r="C35" s="175"/>
      <c r="D35" s="169"/>
      <c r="E35" s="169"/>
      <c r="F35" s="169"/>
      <c r="G35" s="169"/>
      <c r="H35" s="25"/>
      <c r="I35" s="190"/>
      <c r="J35" s="190"/>
      <c r="K35" s="163"/>
      <c r="L35" s="177"/>
      <c r="M35" s="25"/>
      <c r="N35" s="25"/>
    </row>
    <row r="36" spans="3:14" x14ac:dyDescent="0.2">
      <c r="C36" s="175">
        <v>2011</v>
      </c>
      <c r="D36" s="169">
        <v>9060</v>
      </c>
      <c r="E36" s="169">
        <v>6193</v>
      </c>
      <c r="F36" s="169">
        <v>74782</v>
      </c>
      <c r="G36" s="169">
        <v>2929</v>
      </c>
      <c r="H36" s="25"/>
      <c r="I36" s="190" t="s">
        <v>177</v>
      </c>
      <c r="J36" s="190" t="s">
        <v>177</v>
      </c>
      <c r="K36" s="163">
        <f>SUM(D36:J36)</f>
        <v>92964</v>
      </c>
      <c r="L36" s="177">
        <f>(K36/K34-1)*100</f>
        <v>1.9275047694230718</v>
      </c>
      <c r="M36" s="25"/>
      <c r="N36" s="25"/>
    </row>
    <row r="37" spans="3:14" x14ac:dyDescent="0.2">
      <c r="C37" s="175">
        <v>2012</v>
      </c>
      <c r="D37" s="169">
        <v>8206</v>
      </c>
      <c r="E37" s="169">
        <v>6476</v>
      </c>
      <c r="F37" s="169">
        <v>75754</v>
      </c>
      <c r="G37" s="169">
        <v>3176</v>
      </c>
      <c r="H37" s="25"/>
      <c r="I37" s="190" t="s">
        <v>177</v>
      </c>
      <c r="J37" s="190" t="s">
        <v>177</v>
      </c>
      <c r="K37" s="163">
        <f>SUM(D37:J37)</f>
        <v>93612</v>
      </c>
      <c r="L37" s="177">
        <f t="shared" si="1"/>
        <v>0.69704401703885033</v>
      </c>
      <c r="M37" s="25"/>
      <c r="N37" s="25"/>
    </row>
    <row r="38" spans="3:14" x14ac:dyDescent="0.2">
      <c r="C38" s="175">
        <v>2013</v>
      </c>
      <c r="D38" s="169">
        <v>7200</v>
      </c>
      <c r="E38" s="169">
        <v>6755</v>
      </c>
      <c r="F38" s="169">
        <v>78070</v>
      </c>
      <c r="G38" s="169">
        <v>3505</v>
      </c>
      <c r="H38" s="25"/>
      <c r="I38" s="190" t="s">
        <v>177</v>
      </c>
      <c r="J38" s="190" t="s">
        <v>177</v>
      </c>
      <c r="K38" s="163">
        <f>SUM(D38:J38)</f>
        <v>95530</v>
      </c>
      <c r="L38" s="177">
        <f t="shared" si="1"/>
        <v>2.0488826218860723</v>
      </c>
      <c r="M38" s="25"/>
      <c r="N38" s="25"/>
    </row>
    <row r="39" spans="3:14" x14ac:dyDescent="0.2">
      <c r="C39" s="175">
        <v>2014</v>
      </c>
      <c r="D39" s="169">
        <v>6213</v>
      </c>
      <c r="E39" s="169">
        <v>7037</v>
      </c>
      <c r="F39" s="169">
        <v>82413</v>
      </c>
      <c r="G39" s="169">
        <v>3796</v>
      </c>
      <c r="H39" s="25"/>
      <c r="I39" s="190" t="s">
        <v>44</v>
      </c>
      <c r="J39" s="190" t="s">
        <v>177</v>
      </c>
      <c r="K39" s="163">
        <f>SUM(D39:J39)</f>
        <v>99459</v>
      </c>
      <c r="L39" s="177">
        <f t="shared" si="1"/>
        <v>4.1128441327331622</v>
      </c>
      <c r="M39" s="25"/>
      <c r="N39" s="25"/>
    </row>
    <row r="40" spans="3:14" x14ac:dyDescent="0.2">
      <c r="C40" s="175">
        <v>2015</v>
      </c>
      <c r="D40" s="169">
        <v>5462</v>
      </c>
      <c r="E40" s="169">
        <v>6186</v>
      </c>
      <c r="F40" s="169">
        <v>83045</v>
      </c>
      <c r="G40" s="169">
        <v>4145</v>
      </c>
      <c r="H40" s="25"/>
      <c r="I40" s="190" t="s">
        <v>44</v>
      </c>
      <c r="J40" s="190" t="s">
        <v>177</v>
      </c>
      <c r="K40" s="163">
        <f>SUM(D40:J40)</f>
        <v>98838</v>
      </c>
      <c r="L40" s="177">
        <f t="shared" si="1"/>
        <v>-0.6243778843543546</v>
      </c>
      <c r="M40" s="25"/>
      <c r="N40" s="25"/>
    </row>
    <row r="41" spans="3:14" x14ac:dyDescent="0.2">
      <c r="C41" s="175"/>
      <c r="D41" s="169"/>
      <c r="E41" s="169"/>
      <c r="F41" s="169"/>
      <c r="G41" s="169"/>
      <c r="H41" s="25"/>
      <c r="I41" s="190"/>
      <c r="J41" s="190"/>
      <c r="K41" s="163"/>
      <c r="L41" s="177"/>
      <c r="M41" s="25"/>
      <c r="N41" s="25"/>
    </row>
    <row r="42" spans="3:14" x14ac:dyDescent="0.2">
      <c r="C42" s="175">
        <v>2016</v>
      </c>
      <c r="D42" s="169">
        <v>4566</v>
      </c>
      <c r="E42" s="169">
        <v>6399</v>
      </c>
      <c r="F42" s="169">
        <v>80658</v>
      </c>
      <c r="G42" s="169">
        <v>4433</v>
      </c>
      <c r="H42" s="25"/>
      <c r="I42" s="169">
        <v>203</v>
      </c>
      <c r="J42" s="190" t="s">
        <v>177</v>
      </c>
      <c r="K42" s="163">
        <f t="shared" ref="K42:K48" si="2">SUM(D42:J42)</f>
        <v>96259</v>
      </c>
      <c r="L42" s="177">
        <f>(K42/K40-1)*100</f>
        <v>-2.609320301908169</v>
      </c>
      <c r="M42" s="25"/>
      <c r="N42" s="25"/>
    </row>
    <row r="43" spans="3:14" x14ac:dyDescent="0.2">
      <c r="C43" s="175">
        <v>2017</v>
      </c>
      <c r="D43" s="169">
        <v>3871</v>
      </c>
      <c r="E43" s="169">
        <v>6291</v>
      </c>
      <c r="F43" s="169">
        <v>83675</v>
      </c>
      <c r="G43" s="169">
        <v>4601</v>
      </c>
      <c r="H43" s="25"/>
      <c r="I43" s="169">
        <v>889</v>
      </c>
      <c r="J43" s="190" t="s">
        <v>177</v>
      </c>
      <c r="K43" s="163">
        <f t="shared" si="2"/>
        <v>99327</v>
      </c>
      <c r="L43" s="177">
        <f t="shared" si="1"/>
        <v>3.1872344404159536</v>
      </c>
      <c r="M43" s="25"/>
      <c r="N43" s="25"/>
    </row>
    <row r="44" spans="3:14" x14ac:dyDescent="0.2">
      <c r="C44" s="175">
        <v>2018</v>
      </c>
      <c r="D44" s="169">
        <v>3461</v>
      </c>
      <c r="E44" s="169">
        <v>6837</v>
      </c>
      <c r="F44" s="169">
        <v>90179</v>
      </c>
      <c r="G44" s="169">
        <v>5029</v>
      </c>
      <c r="H44" s="25"/>
      <c r="I44" s="169">
        <v>1710</v>
      </c>
      <c r="J44" s="169">
        <v>93</v>
      </c>
      <c r="K44" s="163">
        <f t="shared" si="2"/>
        <v>107309</v>
      </c>
      <c r="L44" s="177">
        <f t="shared" si="1"/>
        <v>8.03608283749635</v>
      </c>
      <c r="M44" s="25"/>
      <c r="N44" s="25"/>
    </row>
    <row r="45" spans="3:14" x14ac:dyDescent="0.2">
      <c r="C45" s="175">
        <v>2019</v>
      </c>
      <c r="D45" s="169">
        <v>2994</v>
      </c>
      <c r="E45" s="169">
        <v>6867</v>
      </c>
      <c r="F45" s="169">
        <v>91833</v>
      </c>
      <c r="G45" s="169">
        <v>5326</v>
      </c>
      <c r="H45" s="25"/>
      <c r="I45" s="169">
        <v>2390</v>
      </c>
      <c r="J45" s="169">
        <v>146</v>
      </c>
      <c r="K45" s="179">
        <f t="shared" si="2"/>
        <v>109556</v>
      </c>
      <c r="L45" s="177">
        <f t="shared" si="1"/>
        <v>2.0939529769171239</v>
      </c>
      <c r="M45" s="25"/>
      <c r="N45" s="25"/>
    </row>
    <row r="46" spans="3:14" x14ac:dyDescent="0.2">
      <c r="C46" s="175">
        <v>2020</v>
      </c>
      <c r="D46" s="169">
        <v>2797</v>
      </c>
      <c r="E46" s="169">
        <v>7322</v>
      </c>
      <c r="F46" s="169">
        <v>92550</v>
      </c>
      <c r="G46" s="169">
        <v>5623</v>
      </c>
      <c r="H46" s="25"/>
      <c r="I46" s="169">
        <v>3118</v>
      </c>
      <c r="J46" s="169">
        <v>158</v>
      </c>
      <c r="K46" s="179">
        <f t="shared" si="2"/>
        <v>111568</v>
      </c>
      <c r="L46" s="177">
        <f t="shared" si="1"/>
        <v>1.8365037058673206</v>
      </c>
      <c r="M46" s="25"/>
      <c r="N46" s="25"/>
    </row>
    <row r="47" spans="3:14" x14ac:dyDescent="0.2">
      <c r="C47" s="175"/>
      <c r="D47" s="169"/>
      <c r="E47" s="169"/>
      <c r="F47" s="169"/>
      <c r="G47" s="169"/>
      <c r="H47" s="25"/>
      <c r="I47" s="169"/>
      <c r="J47" s="169"/>
      <c r="K47" s="179"/>
      <c r="L47" s="177"/>
      <c r="M47" s="25"/>
      <c r="N47" s="25"/>
    </row>
    <row r="48" spans="3:14" x14ac:dyDescent="0.2">
      <c r="C48" s="175">
        <v>2021</v>
      </c>
      <c r="D48" s="169">
        <v>2501</v>
      </c>
      <c r="E48" s="169">
        <v>7627</v>
      </c>
      <c r="F48" s="169">
        <v>96213</v>
      </c>
      <c r="G48" s="169">
        <v>6001</v>
      </c>
      <c r="H48" s="25"/>
      <c r="I48" s="169">
        <v>4345</v>
      </c>
      <c r="J48" s="169">
        <v>309</v>
      </c>
      <c r="K48" s="179">
        <f t="shared" si="2"/>
        <v>116996</v>
      </c>
      <c r="L48" s="177">
        <f>(K48/K46-1)*100</f>
        <v>4.8651943209522486</v>
      </c>
      <c r="M48" s="25"/>
      <c r="N48" s="25"/>
    </row>
    <row r="49" spans="2:14" x14ac:dyDescent="0.2">
      <c r="C49" s="175">
        <v>2022</v>
      </c>
      <c r="D49" s="169">
        <v>2317</v>
      </c>
      <c r="E49" s="169">
        <v>7835</v>
      </c>
      <c r="F49" s="169">
        <v>97018</v>
      </c>
      <c r="G49" s="169">
        <v>6450</v>
      </c>
      <c r="H49" s="25"/>
      <c r="I49" s="169">
        <v>4920</v>
      </c>
      <c r="J49" s="169">
        <v>588</v>
      </c>
      <c r="K49" s="179">
        <f>SUM(D49:J49)</f>
        <v>119128</v>
      </c>
      <c r="L49" s="177">
        <f>(K49/K48-1)*100</f>
        <v>1.8222845225477791</v>
      </c>
      <c r="M49" s="25"/>
      <c r="N49" s="25"/>
    </row>
    <row r="50" spans="2:14" x14ac:dyDescent="0.2">
      <c r="C50" s="187">
        <v>2023</v>
      </c>
      <c r="D50" s="170">
        <v>2169</v>
      </c>
      <c r="E50" s="170">
        <v>8088</v>
      </c>
      <c r="F50" s="170">
        <v>95572</v>
      </c>
      <c r="G50" s="170">
        <v>6657</v>
      </c>
      <c r="H50" s="132"/>
      <c r="I50" s="170">
        <v>5167</v>
      </c>
      <c r="J50" s="170">
        <v>790</v>
      </c>
      <c r="K50" s="180">
        <f>SUM(D50:J50)</f>
        <v>118443</v>
      </c>
      <c r="L50" s="181">
        <f>(K50/K49-1)*100</f>
        <v>-0.57501175206500221</v>
      </c>
      <c r="M50" s="25"/>
      <c r="N50" s="25"/>
    </row>
    <row r="51" spans="2:14" x14ac:dyDescent="0.2">
      <c r="C51" s="175"/>
      <c r="D51" s="169"/>
      <c r="E51" s="169"/>
      <c r="F51" s="169"/>
      <c r="G51" s="169"/>
      <c r="H51" s="25"/>
      <c r="I51" s="25"/>
      <c r="J51" s="25"/>
      <c r="K51" s="179"/>
      <c r="L51" s="177"/>
      <c r="M51" s="25"/>
      <c r="N51" s="25"/>
    </row>
    <row r="52" spans="2:14" x14ac:dyDescent="0.2">
      <c r="C52" s="140" t="s">
        <v>69</v>
      </c>
    </row>
    <row r="53" spans="2:14" ht="14.25" x14ac:dyDescent="0.2">
      <c r="B53" s="149"/>
      <c r="C53" s="129" t="s">
        <v>27</v>
      </c>
    </row>
    <row r="54" spans="2:14" ht="14.25" x14ac:dyDescent="0.2">
      <c r="B54" s="149"/>
      <c r="C54" s="129" t="s">
        <v>28</v>
      </c>
    </row>
    <row r="55" spans="2:14" ht="14.25" x14ac:dyDescent="0.2">
      <c r="B55" s="149"/>
      <c r="C55" s="17" t="s">
        <v>34</v>
      </c>
    </row>
    <row r="56" spans="2:14" ht="14.25" x14ac:dyDescent="0.2">
      <c r="B56" s="149"/>
      <c r="C56" s="17" t="s">
        <v>30</v>
      </c>
    </row>
    <row r="57" spans="2:14" ht="14.25" x14ac:dyDescent="0.2">
      <c r="B57" s="149"/>
      <c r="C57" s="17" t="s">
        <v>31</v>
      </c>
    </row>
    <row r="58" spans="2:14" ht="14.25" x14ac:dyDescent="0.2">
      <c r="B58" s="149"/>
      <c r="C58" s="17" t="s">
        <v>32</v>
      </c>
    </row>
    <row r="59" spans="2:14" ht="14.25" x14ac:dyDescent="0.2">
      <c r="B59" s="149"/>
      <c r="C59" s="129" t="s">
        <v>173</v>
      </c>
    </row>
    <row r="60" spans="2:14" ht="14.25" x14ac:dyDescent="0.2">
      <c r="B60" s="149"/>
      <c r="C60" s="17" t="s">
        <v>72</v>
      </c>
    </row>
    <row r="61" spans="2:14" ht="14.25" x14ac:dyDescent="0.2">
      <c r="B61" s="149"/>
      <c r="C61" s="17" t="s">
        <v>33</v>
      </c>
    </row>
    <row r="62" spans="2:14" ht="14.25" x14ac:dyDescent="0.2">
      <c r="B62" s="149"/>
      <c r="C62" s="17" t="s">
        <v>233</v>
      </c>
    </row>
    <row r="63" spans="2:14" ht="14.25" x14ac:dyDescent="0.2">
      <c r="B63" s="149"/>
      <c r="C63" s="17" t="s">
        <v>234</v>
      </c>
    </row>
    <row r="64" spans="2:14" ht="14.25" x14ac:dyDescent="0.2">
      <c r="B64" s="149"/>
      <c r="C64" s="17" t="s">
        <v>235</v>
      </c>
    </row>
    <row r="65" spans="2:16" ht="14.25" x14ac:dyDescent="0.2">
      <c r="B65" s="149"/>
      <c r="C65" s="17" t="s">
        <v>236</v>
      </c>
    </row>
    <row r="66" spans="2:16" ht="14.25" x14ac:dyDescent="0.2">
      <c r="B66" s="149"/>
      <c r="C66" s="17" t="s">
        <v>237</v>
      </c>
    </row>
    <row r="67" spans="2:16" ht="14.25" x14ac:dyDescent="0.2">
      <c r="B67" s="149"/>
      <c r="C67" s="17" t="s">
        <v>26</v>
      </c>
    </row>
    <row r="68" spans="2:16" ht="14.25" x14ac:dyDescent="0.2">
      <c r="B68" s="150"/>
      <c r="C68" s="17" t="s">
        <v>65</v>
      </c>
    </row>
    <row r="69" spans="2:16" ht="13.5" customHeight="1" x14ac:dyDescent="0.2">
      <c r="B69" s="150"/>
    </row>
    <row r="70" spans="2:16" ht="14.25" x14ac:dyDescent="0.2">
      <c r="B70" s="150"/>
      <c r="C70" s="133" t="s">
        <v>101</v>
      </c>
    </row>
    <row r="71" spans="2:16" ht="14.25" x14ac:dyDescent="0.2">
      <c r="B71" s="150"/>
    </row>
    <row r="72" spans="2:16" x14ac:dyDescent="0.2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</row>
    <row r="73" spans="2:16" ht="9" customHeight="1" x14ac:dyDescent="0.2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</row>
    <row r="74" spans="2:16" x14ac:dyDescent="0.2">
      <c r="B74" s="222"/>
      <c r="C74" s="222"/>
      <c r="D74" s="222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134"/>
      <c r="P74" s="134"/>
    </row>
  </sheetData>
  <mergeCells count="1">
    <mergeCell ref="C8:L8"/>
  </mergeCells>
  <phoneticPr fontId="6" type="noConversion"/>
  <printOptions horizontalCentered="1"/>
  <pageMargins left="1" right="1" top="1" bottom="1" header="0.5" footer="0.5"/>
  <pageSetup scale="70" orientation="portrait" horizontalDpi="300" verticalDpi="300" r:id="rId1"/>
  <headerFooter alignWithMargins="0"/>
  <rowBreaks count="1" manualBreakCount="1">
    <brk id="69" max="12" man="1"/>
  </rowBreaks>
  <ignoredErrors>
    <ignoredError sqref="L12" evalError="1"/>
  </ignoredErrors>
  <drawing r:id="rId2"/>
  <legacyDrawing r:id="rId3"/>
  <oleObjects>
    <mc:AlternateContent xmlns:mc="http://schemas.openxmlformats.org/markup-compatibility/2006">
      <mc:Choice Requires="x14">
        <oleObject progId="MSPhotoEd.3" shapeId="26626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19050</xdr:rowOff>
              </from>
              <to>
                <xdr:col>2</xdr:col>
                <xdr:colOff>209550</xdr:colOff>
                <xdr:row>2</xdr:row>
                <xdr:rowOff>133350</xdr:rowOff>
              </to>
            </anchor>
          </objectPr>
        </oleObject>
      </mc:Choice>
      <mc:Fallback>
        <oleObject progId="MSPhotoEd.3" shapeId="26626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B2:AS94"/>
  <sheetViews>
    <sheetView zoomScaleNormal="100" zoomScaleSheetLayoutView="100" workbookViewId="0">
      <selection activeCell="U70" sqref="U70"/>
    </sheetView>
  </sheetViews>
  <sheetFormatPr defaultRowHeight="12.75" x14ac:dyDescent="0.2"/>
  <cols>
    <col min="1" max="1" width="2.5703125" style="17" customWidth="1"/>
    <col min="2" max="2" width="8.5703125" style="17" customWidth="1"/>
    <col min="3" max="3" width="7" style="17" customWidth="1"/>
    <col min="4" max="6" width="10" style="17" customWidth="1"/>
    <col min="7" max="7" width="9.7109375" style="17" customWidth="1"/>
    <col min="8" max="8" width="10.85546875" style="17" hidden="1" customWidth="1"/>
    <col min="9" max="10" width="12" style="17" customWidth="1"/>
    <col min="11" max="12" width="10" style="17" customWidth="1"/>
    <col min="13" max="13" width="7.28515625" style="17" customWidth="1"/>
    <col min="14" max="16384" width="9.140625" style="17"/>
  </cols>
  <sheetData>
    <row r="2" spans="2:45" x14ac:dyDescent="0.2">
      <c r="J2" s="140" t="s">
        <v>253</v>
      </c>
    </row>
    <row r="4" spans="2:45" ht="15" x14ac:dyDescent="0.25">
      <c r="G4" s="297"/>
      <c r="H4" s="297"/>
      <c r="I4" s="297"/>
      <c r="J4" s="297"/>
      <c r="K4" s="155"/>
      <c r="L4" s="155"/>
      <c r="M4" s="155"/>
      <c r="N4" s="211"/>
      <c r="O4" s="211"/>
    </row>
    <row r="7" spans="2:45" ht="15.75" x14ac:dyDescent="0.25">
      <c r="B7" s="130">
        <v>12.09</v>
      </c>
      <c r="C7" s="311" t="s">
        <v>262</v>
      </c>
      <c r="D7" s="311"/>
      <c r="E7" s="311"/>
      <c r="F7" s="311"/>
      <c r="G7" s="311"/>
      <c r="H7" s="311"/>
      <c r="I7" s="311"/>
      <c r="J7" s="311"/>
      <c r="K7" s="311"/>
      <c r="L7" s="311"/>
      <c r="M7" s="311"/>
    </row>
    <row r="10" spans="2:45" ht="38.25" x14ac:dyDescent="0.2">
      <c r="C10" s="173" t="s">
        <v>0</v>
      </c>
      <c r="D10" s="173" t="s">
        <v>107</v>
      </c>
      <c r="E10" s="174" t="s">
        <v>108</v>
      </c>
      <c r="F10" s="174" t="s">
        <v>109</v>
      </c>
      <c r="G10" s="174" t="s">
        <v>110</v>
      </c>
      <c r="H10" s="174" t="s">
        <v>24</v>
      </c>
      <c r="I10" s="174" t="s">
        <v>232</v>
      </c>
      <c r="J10" s="174" t="s">
        <v>228</v>
      </c>
      <c r="K10" s="174" t="s">
        <v>57</v>
      </c>
      <c r="L10" s="174" t="s">
        <v>25</v>
      </c>
      <c r="M10" s="173"/>
    </row>
    <row r="11" spans="2:45" x14ac:dyDescent="0.2"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</row>
    <row r="12" spans="2:45" hidden="1" x14ac:dyDescent="0.2">
      <c r="C12" s="222">
        <v>1970</v>
      </c>
      <c r="D12" s="163"/>
      <c r="E12" s="163">
        <v>308</v>
      </c>
      <c r="F12" s="163">
        <v>148</v>
      </c>
      <c r="G12" s="163">
        <v>7</v>
      </c>
      <c r="H12" s="163"/>
      <c r="I12" s="163"/>
      <c r="J12" s="163"/>
      <c r="K12" s="163">
        <f t="shared" ref="K12:K33" si="0">SUM(D12:H12)</f>
        <v>463</v>
      </c>
      <c r="L12" s="165"/>
      <c r="M12" s="156"/>
      <c r="AS12" s="17">
        <v>4932.3999999999996</v>
      </c>
    </row>
    <row r="13" spans="2:45" hidden="1" x14ac:dyDescent="0.2">
      <c r="C13" s="222">
        <v>1971</v>
      </c>
      <c r="D13" s="163"/>
      <c r="E13" s="163">
        <v>368</v>
      </c>
      <c r="F13" s="163">
        <v>203</v>
      </c>
      <c r="G13" s="163">
        <v>14</v>
      </c>
      <c r="H13" s="163"/>
      <c r="I13" s="163"/>
      <c r="J13" s="163"/>
      <c r="K13" s="163">
        <f t="shared" si="0"/>
        <v>585</v>
      </c>
      <c r="L13" s="189">
        <f t="shared" ref="L13:L22" si="1">(K13/K12-1)*100</f>
        <v>26.349892008639308</v>
      </c>
      <c r="M13" s="156"/>
      <c r="AS13" s="17">
        <v>2281.6999999999998</v>
      </c>
    </row>
    <row r="14" spans="2:45" hidden="1" x14ac:dyDescent="0.2">
      <c r="C14" s="222">
        <v>1972</v>
      </c>
      <c r="D14" s="163"/>
      <c r="E14" s="163">
        <v>687</v>
      </c>
      <c r="F14" s="163">
        <v>284</v>
      </c>
      <c r="G14" s="163">
        <v>19</v>
      </c>
      <c r="H14" s="163"/>
      <c r="I14" s="163"/>
      <c r="J14" s="163"/>
      <c r="K14" s="163">
        <f t="shared" si="0"/>
        <v>990</v>
      </c>
      <c r="L14" s="189">
        <f t="shared" si="1"/>
        <v>69.230769230769226</v>
      </c>
      <c r="M14" s="156"/>
      <c r="AS14" s="17">
        <v>100.2</v>
      </c>
    </row>
    <row r="15" spans="2:45" hidden="1" x14ac:dyDescent="0.2">
      <c r="C15" s="222">
        <v>1973</v>
      </c>
      <c r="D15" s="163"/>
      <c r="E15" s="163">
        <v>767</v>
      </c>
      <c r="F15" s="163">
        <v>545</v>
      </c>
      <c r="G15" s="163">
        <v>50</v>
      </c>
      <c r="H15" s="163"/>
      <c r="I15" s="163"/>
      <c r="J15" s="163"/>
      <c r="K15" s="163">
        <f t="shared" si="0"/>
        <v>1362</v>
      </c>
      <c r="L15" s="189">
        <f t="shared" si="1"/>
        <v>37.575757575757571</v>
      </c>
      <c r="M15" s="156"/>
      <c r="AS15" s="17">
        <v>2181.5</v>
      </c>
    </row>
    <row r="16" spans="2:45" hidden="1" x14ac:dyDescent="0.2">
      <c r="C16" s="222">
        <v>1974</v>
      </c>
      <c r="D16" s="163"/>
      <c r="E16" s="163">
        <v>734</v>
      </c>
      <c r="F16" s="163">
        <v>704</v>
      </c>
      <c r="G16" s="163">
        <v>47</v>
      </c>
      <c r="H16" s="163"/>
      <c r="I16" s="163"/>
      <c r="J16" s="163"/>
      <c r="K16" s="163">
        <f t="shared" si="0"/>
        <v>1485</v>
      </c>
      <c r="L16" s="189">
        <f t="shared" si="1"/>
        <v>9.0308370044052779</v>
      </c>
      <c r="AS16" s="17">
        <v>2650.7</v>
      </c>
    </row>
    <row r="17" spans="3:45" hidden="1" x14ac:dyDescent="0.2">
      <c r="C17" s="222">
        <v>1975</v>
      </c>
      <c r="D17" s="163"/>
      <c r="E17" s="163">
        <v>819</v>
      </c>
      <c r="F17" s="163">
        <v>428</v>
      </c>
      <c r="G17" s="163">
        <v>14</v>
      </c>
      <c r="H17" s="163"/>
      <c r="I17" s="163"/>
      <c r="J17" s="163"/>
      <c r="K17" s="163">
        <f t="shared" si="0"/>
        <v>1261</v>
      </c>
      <c r="L17" s="189">
        <f t="shared" si="1"/>
        <v>-15.084175084175088</v>
      </c>
      <c r="AS17" s="17">
        <v>2971.2</v>
      </c>
    </row>
    <row r="18" spans="3:45" hidden="1" x14ac:dyDescent="0.2">
      <c r="C18" s="222">
        <v>1976</v>
      </c>
      <c r="D18" s="163"/>
      <c r="E18" s="163">
        <v>638</v>
      </c>
      <c r="F18" s="163">
        <v>639</v>
      </c>
      <c r="G18" s="163">
        <v>24</v>
      </c>
      <c r="H18" s="163"/>
      <c r="I18" s="163"/>
      <c r="J18" s="163"/>
      <c r="K18" s="163">
        <f t="shared" si="0"/>
        <v>1301</v>
      </c>
      <c r="L18" s="189">
        <f t="shared" si="1"/>
        <v>3.1720856463124614</v>
      </c>
      <c r="AS18" s="17">
        <v>243.6</v>
      </c>
    </row>
    <row r="19" spans="3:45" hidden="1" x14ac:dyDescent="0.2">
      <c r="C19" s="222">
        <v>1977</v>
      </c>
      <c r="D19" s="163"/>
      <c r="E19" s="163">
        <v>710</v>
      </c>
      <c r="F19" s="163">
        <v>840</v>
      </c>
      <c r="G19" s="163">
        <v>26</v>
      </c>
      <c r="H19" s="163"/>
      <c r="I19" s="163"/>
      <c r="J19" s="163"/>
      <c r="K19" s="163">
        <f t="shared" si="0"/>
        <v>1576</v>
      </c>
      <c r="L19" s="189">
        <f t="shared" si="1"/>
        <v>21.137586471944658</v>
      </c>
      <c r="AS19" s="17">
        <v>70.099999999999994</v>
      </c>
    </row>
    <row r="20" spans="3:45" hidden="1" x14ac:dyDescent="0.2">
      <c r="C20" s="222">
        <v>1978</v>
      </c>
      <c r="D20" s="163"/>
      <c r="E20" s="163">
        <v>826</v>
      </c>
      <c r="F20" s="163">
        <v>1011</v>
      </c>
      <c r="G20" s="163">
        <v>68</v>
      </c>
      <c r="H20" s="163"/>
      <c r="I20" s="163"/>
      <c r="J20" s="163"/>
      <c r="K20" s="163">
        <f t="shared" si="0"/>
        <v>1905</v>
      </c>
      <c r="L20" s="189">
        <f t="shared" si="1"/>
        <v>20.875634517766507</v>
      </c>
      <c r="AS20" s="17">
        <v>2657.5</v>
      </c>
    </row>
    <row r="21" spans="3:45" hidden="1" x14ac:dyDescent="0.2">
      <c r="C21" s="222">
        <v>1979</v>
      </c>
      <c r="D21" s="163"/>
      <c r="E21" s="163">
        <v>1020</v>
      </c>
      <c r="F21" s="163">
        <v>1457</v>
      </c>
      <c r="G21" s="163">
        <v>56</v>
      </c>
      <c r="H21" s="163"/>
      <c r="I21" s="163"/>
      <c r="J21" s="163"/>
      <c r="K21" s="163">
        <f t="shared" si="0"/>
        <v>2533</v>
      </c>
      <c r="L21" s="189">
        <f t="shared" si="1"/>
        <v>32.965879265091871</v>
      </c>
      <c r="AS21" s="17">
        <v>-320.5</v>
      </c>
    </row>
    <row r="22" spans="3:45" hidden="1" x14ac:dyDescent="0.2">
      <c r="C22" s="222">
        <v>1980</v>
      </c>
      <c r="D22" s="163"/>
      <c r="E22" s="163">
        <v>1159</v>
      </c>
      <c r="F22" s="163">
        <v>1751</v>
      </c>
      <c r="G22" s="163">
        <v>69</v>
      </c>
      <c r="H22" s="163"/>
      <c r="I22" s="163"/>
      <c r="J22" s="163"/>
      <c r="K22" s="163">
        <f t="shared" si="0"/>
        <v>2979</v>
      </c>
      <c r="L22" s="189">
        <f t="shared" si="1"/>
        <v>17.607579944729569</v>
      </c>
    </row>
    <row r="23" spans="3:45" hidden="1" x14ac:dyDescent="0.2">
      <c r="C23" s="222">
        <v>1981</v>
      </c>
      <c r="D23" s="163"/>
      <c r="E23" s="163">
        <v>1151</v>
      </c>
      <c r="F23" s="163">
        <v>1836</v>
      </c>
      <c r="G23" s="163">
        <v>65</v>
      </c>
      <c r="H23" s="163"/>
      <c r="I23" s="163"/>
      <c r="J23" s="163"/>
      <c r="K23" s="163">
        <f t="shared" si="0"/>
        <v>3052</v>
      </c>
      <c r="L23" s="189">
        <f>(K23/K22-1)*100</f>
        <v>2.450486740516955</v>
      </c>
      <c r="AS23" s="17">
        <v>4932.3999999999996</v>
      </c>
    </row>
    <row r="24" spans="3:45" hidden="1" x14ac:dyDescent="0.2">
      <c r="C24" s="222">
        <v>1982</v>
      </c>
      <c r="D24" s="163"/>
      <c r="E24" s="163">
        <v>948</v>
      </c>
      <c r="F24" s="163">
        <v>1927</v>
      </c>
      <c r="G24" s="163">
        <v>55</v>
      </c>
      <c r="H24" s="163"/>
      <c r="I24" s="163"/>
      <c r="J24" s="163"/>
      <c r="K24" s="163">
        <f t="shared" si="0"/>
        <v>2930</v>
      </c>
      <c r="L24" s="189">
        <f t="shared" ref="L24:L47" si="2">(K24/K23-1)*100</f>
        <v>-3.9973787680209649</v>
      </c>
      <c r="AS24" s="17">
        <v>1209.0999999999999</v>
      </c>
    </row>
    <row r="25" spans="3:45" hidden="1" x14ac:dyDescent="0.2">
      <c r="C25" s="222">
        <v>1983</v>
      </c>
      <c r="D25" s="163"/>
      <c r="E25" s="163">
        <v>693</v>
      </c>
      <c r="F25" s="163">
        <v>1549</v>
      </c>
      <c r="G25" s="163">
        <v>42</v>
      </c>
      <c r="H25" s="163"/>
      <c r="I25" s="163"/>
      <c r="J25" s="163"/>
      <c r="K25" s="163">
        <f t="shared" si="0"/>
        <v>2284</v>
      </c>
      <c r="L25" s="189">
        <f t="shared" si="2"/>
        <v>-22.047781569965874</v>
      </c>
      <c r="AS25" s="17">
        <v>95.5</v>
      </c>
    </row>
    <row r="26" spans="3:45" hidden="1" x14ac:dyDescent="0.2">
      <c r="C26" s="222">
        <v>1984</v>
      </c>
      <c r="D26" s="163"/>
      <c r="E26" s="163">
        <v>679</v>
      </c>
      <c r="F26" s="163">
        <v>1251</v>
      </c>
      <c r="G26" s="163">
        <v>34</v>
      </c>
      <c r="H26" s="163"/>
      <c r="I26" s="163"/>
      <c r="J26" s="163"/>
      <c r="K26" s="163">
        <f t="shared" si="0"/>
        <v>1964</v>
      </c>
      <c r="L26" s="189">
        <f t="shared" si="2"/>
        <v>-14.010507880910684</v>
      </c>
      <c r="AS26" s="17">
        <v>1113.5999999999999</v>
      </c>
    </row>
    <row r="27" spans="3:45" hidden="1" x14ac:dyDescent="0.2">
      <c r="C27" s="222">
        <v>1985</v>
      </c>
      <c r="D27" s="163"/>
      <c r="E27" s="163">
        <v>745</v>
      </c>
      <c r="F27" s="163">
        <v>1226</v>
      </c>
      <c r="G27" s="163">
        <v>46</v>
      </c>
      <c r="H27" s="163"/>
      <c r="I27" s="163"/>
      <c r="J27" s="163"/>
      <c r="K27" s="163">
        <f t="shared" si="0"/>
        <v>2017</v>
      </c>
      <c r="L27" s="189">
        <f t="shared" si="2"/>
        <v>2.6985743380855354</v>
      </c>
      <c r="AS27" s="17">
        <v>460.6</v>
      </c>
    </row>
    <row r="28" spans="3:45" hidden="1" x14ac:dyDescent="0.2">
      <c r="C28" s="222">
        <v>1986</v>
      </c>
      <c r="D28" s="163"/>
      <c r="E28" s="163">
        <v>739</v>
      </c>
      <c r="F28" s="163">
        <v>1280</v>
      </c>
      <c r="G28" s="163">
        <v>46</v>
      </c>
      <c r="H28" s="163"/>
      <c r="I28" s="163"/>
      <c r="J28" s="163"/>
      <c r="K28" s="163">
        <f t="shared" si="0"/>
        <v>2065</v>
      </c>
      <c r="L28" s="189">
        <f t="shared" si="2"/>
        <v>2.379771938522568</v>
      </c>
      <c r="AS28" s="17">
        <v>653</v>
      </c>
    </row>
    <row r="29" spans="3:45" hidden="1" x14ac:dyDescent="0.2">
      <c r="C29" s="222">
        <v>1987</v>
      </c>
      <c r="D29" s="163"/>
      <c r="E29" s="163">
        <v>879</v>
      </c>
      <c r="F29" s="163">
        <v>1514</v>
      </c>
      <c r="G29" s="163">
        <v>39</v>
      </c>
      <c r="H29" s="163"/>
      <c r="I29" s="163"/>
      <c r="J29" s="163"/>
      <c r="K29" s="163">
        <f t="shared" si="0"/>
        <v>2432</v>
      </c>
      <c r="L29" s="189">
        <f t="shared" si="2"/>
        <v>17.772397094430993</v>
      </c>
      <c r="AS29" s="17">
        <v>3723.3</v>
      </c>
    </row>
    <row r="30" spans="3:45" hidden="1" x14ac:dyDescent="0.2">
      <c r="C30" s="222">
        <v>1988</v>
      </c>
      <c r="D30" s="163"/>
      <c r="E30" s="163">
        <v>810</v>
      </c>
      <c r="F30" s="163">
        <v>2145</v>
      </c>
      <c r="G30" s="163">
        <v>57</v>
      </c>
      <c r="H30" s="163"/>
      <c r="I30" s="163"/>
      <c r="J30" s="163"/>
      <c r="K30" s="163">
        <f t="shared" si="0"/>
        <v>3012</v>
      </c>
      <c r="L30" s="189">
        <f t="shared" si="2"/>
        <v>23.848684210526304</v>
      </c>
      <c r="AS30" s="17">
        <v>3382</v>
      </c>
    </row>
    <row r="31" spans="3:45" hidden="1" x14ac:dyDescent="0.2">
      <c r="C31" s="222">
        <v>1989</v>
      </c>
      <c r="D31" s="163"/>
      <c r="E31" s="163">
        <v>928</v>
      </c>
      <c r="F31" s="163">
        <v>2240</v>
      </c>
      <c r="G31" s="163">
        <v>53</v>
      </c>
      <c r="H31" s="163"/>
      <c r="I31" s="163"/>
      <c r="J31" s="163"/>
      <c r="K31" s="163">
        <f t="shared" si="0"/>
        <v>3221</v>
      </c>
      <c r="L31" s="189">
        <f t="shared" si="2"/>
        <v>6.9389110225763551</v>
      </c>
    </row>
    <row r="32" spans="3:45" hidden="1" x14ac:dyDescent="0.2">
      <c r="C32" s="222">
        <v>1990</v>
      </c>
      <c r="D32" s="163">
        <v>1132</v>
      </c>
      <c r="E32" s="163">
        <v>309</v>
      </c>
      <c r="F32" s="163">
        <v>2384</v>
      </c>
      <c r="G32" s="163">
        <v>45</v>
      </c>
      <c r="H32" s="163"/>
      <c r="I32" s="163"/>
      <c r="J32" s="163"/>
      <c r="K32" s="163">
        <f t="shared" si="0"/>
        <v>3870</v>
      </c>
      <c r="L32" s="189">
        <f t="shared" si="2"/>
        <v>20.149022042843832</v>
      </c>
    </row>
    <row r="33" spans="2:13" hidden="1" x14ac:dyDescent="0.2">
      <c r="C33" s="222">
        <v>1991</v>
      </c>
      <c r="D33" s="163">
        <v>795</v>
      </c>
      <c r="E33" s="163">
        <v>315</v>
      </c>
      <c r="F33" s="163">
        <v>2066</v>
      </c>
      <c r="G33" s="163">
        <v>68</v>
      </c>
      <c r="H33" s="163"/>
      <c r="I33" s="163"/>
      <c r="J33" s="163"/>
      <c r="K33" s="163">
        <f t="shared" si="0"/>
        <v>3244</v>
      </c>
      <c r="L33" s="189">
        <f t="shared" si="2"/>
        <v>-16.175710594315241</v>
      </c>
    </row>
    <row r="34" spans="2:13" x14ac:dyDescent="0.2">
      <c r="C34" s="222">
        <v>1992</v>
      </c>
      <c r="D34" s="163">
        <v>964</v>
      </c>
      <c r="E34" s="163">
        <v>350</v>
      </c>
      <c r="F34" s="163">
        <v>2306</v>
      </c>
      <c r="G34" s="163">
        <v>43</v>
      </c>
      <c r="H34" s="163"/>
      <c r="I34" s="190" t="s">
        <v>177</v>
      </c>
      <c r="J34" s="190" t="s">
        <v>177</v>
      </c>
      <c r="K34" s="163">
        <f>SUM(D34:J34)</f>
        <v>3663</v>
      </c>
      <c r="L34" s="189">
        <f t="shared" si="2"/>
        <v>12.916152897657218</v>
      </c>
    </row>
    <row r="35" spans="2:13" x14ac:dyDescent="0.2">
      <c r="C35" s="222">
        <v>1993</v>
      </c>
      <c r="D35" s="163">
        <v>1156</v>
      </c>
      <c r="E35" s="163">
        <v>266</v>
      </c>
      <c r="F35" s="163">
        <v>2681</v>
      </c>
      <c r="G35" s="163">
        <v>61</v>
      </c>
      <c r="H35" s="163">
        <v>16</v>
      </c>
      <c r="I35" s="190" t="s">
        <v>177</v>
      </c>
      <c r="J35" s="190" t="s">
        <v>177</v>
      </c>
      <c r="K35" s="163">
        <f t="shared" ref="K35:K65" si="3">SUM(D35:J35)</f>
        <v>4180</v>
      </c>
      <c r="L35" s="189">
        <f t="shared" si="2"/>
        <v>14.114114114114118</v>
      </c>
    </row>
    <row r="36" spans="2:13" x14ac:dyDescent="0.2">
      <c r="C36" s="222">
        <v>1994</v>
      </c>
      <c r="D36" s="163">
        <v>1094</v>
      </c>
      <c r="E36" s="163">
        <v>342</v>
      </c>
      <c r="F36" s="163">
        <v>3865</v>
      </c>
      <c r="G36" s="163">
        <v>76</v>
      </c>
      <c r="H36" s="163">
        <v>32</v>
      </c>
      <c r="I36" s="190" t="s">
        <v>177</v>
      </c>
      <c r="J36" s="190" t="s">
        <v>177</v>
      </c>
      <c r="K36" s="163">
        <v>5377</v>
      </c>
      <c r="L36" s="189">
        <f t="shared" si="2"/>
        <v>28.636363636363637</v>
      </c>
    </row>
    <row r="37" spans="2:13" x14ac:dyDescent="0.2">
      <c r="C37" s="222">
        <v>1995</v>
      </c>
      <c r="D37" s="163">
        <v>1040</v>
      </c>
      <c r="E37" s="163">
        <v>318</v>
      </c>
      <c r="F37" s="163">
        <v>4252</v>
      </c>
      <c r="G37" s="163">
        <v>85</v>
      </c>
      <c r="H37" s="163"/>
      <c r="I37" s="190" t="s">
        <v>177</v>
      </c>
      <c r="J37" s="190" t="s">
        <v>177</v>
      </c>
      <c r="K37" s="163">
        <f t="shared" si="3"/>
        <v>5695</v>
      </c>
      <c r="L37" s="189">
        <f t="shared" si="2"/>
        <v>5.9140784824251336</v>
      </c>
    </row>
    <row r="38" spans="2:13" x14ac:dyDescent="0.2">
      <c r="C38" s="222"/>
      <c r="D38" s="163"/>
      <c r="E38" s="163"/>
      <c r="F38" s="163"/>
      <c r="G38" s="163"/>
      <c r="H38" s="163"/>
      <c r="I38" s="190"/>
      <c r="J38" s="190"/>
      <c r="K38" s="163"/>
      <c r="L38" s="189"/>
    </row>
    <row r="39" spans="2:13" x14ac:dyDescent="0.2">
      <c r="C39" s="222">
        <v>1996</v>
      </c>
      <c r="D39" s="163">
        <v>1318</v>
      </c>
      <c r="E39" s="163">
        <v>378</v>
      </c>
      <c r="F39" s="163">
        <v>5340</v>
      </c>
      <c r="G39" s="163">
        <v>88</v>
      </c>
      <c r="H39" s="163"/>
      <c r="I39" s="190" t="s">
        <v>177</v>
      </c>
      <c r="J39" s="190" t="s">
        <v>177</v>
      </c>
      <c r="K39" s="163">
        <f t="shared" si="3"/>
        <v>7124</v>
      </c>
      <c r="L39" s="189">
        <f>(K39/K37-1)*100</f>
        <v>25.092186128182625</v>
      </c>
    </row>
    <row r="40" spans="2:13" x14ac:dyDescent="0.2">
      <c r="C40" s="222">
        <v>1997</v>
      </c>
      <c r="D40" s="163">
        <v>1326</v>
      </c>
      <c r="E40" s="163">
        <v>369</v>
      </c>
      <c r="F40" s="163">
        <v>6529</v>
      </c>
      <c r="G40" s="163">
        <v>97</v>
      </c>
      <c r="H40" s="163"/>
      <c r="I40" s="190" t="s">
        <v>177</v>
      </c>
      <c r="J40" s="190" t="s">
        <v>177</v>
      </c>
      <c r="K40" s="163">
        <f t="shared" si="3"/>
        <v>8321</v>
      </c>
      <c r="L40" s="189">
        <f>(K40/K39-1)*100</f>
        <v>16.802358225715896</v>
      </c>
    </row>
    <row r="41" spans="2:13" x14ac:dyDescent="0.2">
      <c r="C41" s="222">
        <v>1998</v>
      </c>
      <c r="D41" s="163">
        <v>1258</v>
      </c>
      <c r="E41" s="163">
        <v>383</v>
      </c>
      <c r="F41" s="163">
        <v>6783</v>
      </c>
      <c r="G41" s="163">
        <v>77</v>
      </c>
      <c r="H41" s="163"/>
      <c r="I41" s="190" t="s">
        <v>177</v>
      </c>
      <c r="J41" s="190" t="s">
        <v>177</v>
      </c>
      <c r="K41" s="163">
        <f t="shared" si="3"/>
        <v>8501</v>
      </c>
      <c r="L41" s="189">
        <f t="shared" si="2"/>
        <v>2.163201538276649</v>
      </c>
    </row>
    <row r="42" spans="2:13" x14ac:dyDescent="0.2">
      <c r="C42" s="222">
        <v>1999</v>
      </c>
      <c r="D42" s="163">
        <v>1523</v>
      </c>
      <c r="E42" s="163">
        <v>415</v>
      </c>
      <c r="F42" s="163">
        <v>7345</v>
      </c>
      <c r="G42" s="163">
        <v>116</v>
      </c>
      <c r="H42" s="163"/>
      <c r="I42" s="190" t="s">
        <v>177</v>
      </c>
      <c r="J42" s="190" t="s">
        <v>177</v>
      </c>
      <c r="K42" s="163">
        <f t="shared" si="3"/>
        <v>9399</v>
      </c>
      <c r="L42" s="189">
        <f t="shared" si="2"/>
        <v>10.563463121985638</v>
      </c>
    </row>
    <row r="43" spans="2:13" x14ac:dyDescent="0.2">
      <c r="C43" s="191">
        <v>2000</v>
      </c>
      <c r="D43" s="192">
        <v>2539</v>
      </c>
      <c r="E43" s="192">
        <v>377</v>
      </c>
      <c r="F43" s="192">
        <v>9595</v>
      </c>
      <c r="G43" s="192">
        <v>182</v>
      </c>
      <c r="H43" s="192"/>
      <c r="I43" s="190" t="s">
        <v>177</v>
      </c>
      <c r="J43" s="190" t="s">
        <v>177</v>
      </c>
      <c r="K43" s="163">
        <f t="shared" si="3"/>
        <v>12693</v>
      </c>
      <c r="L43" s="189">
        <f t="shared" si="2"/>
        <v>35.046281519310575</v>
      </c>
    </row>
    <row r="44" spans="2:13" x14ac:dyDescent="0.2">
      <c r="C44" s="191"/>
      <c r="D44" s="192"/>
      <c r="E44" s="192"/>
      <c r="F44" s="192"/>
      <c r="G44" s="192"/>
      <c r="H44" s="192"/>
      <c r="I44" s="190"/>
      <c r="J44" s="190"/>
      <c r="K44" s="163"/>
      <c r="L44" s="189"/>
    </row>
    <row r="45" spans="2:13" x14ac:dyDescent="0.2">
      <c r="B45" s="25"/>
      <c r="C45" s="175">
        <v>2001</v>
      </c>
      <c r="D45" s="179">
        <v>1365</v>
      </c>
      <c r="E45" s="179">
        <v>296</v>
      </c>
      <c r="F45" s="179">
        <v>6654</v>
      </c>
      <c r="G45" s="179">
        <v>141</v>
      </c>
      <c r="H45" s="179"/>
      <c r="I45" s="190" t="s">
        <v>177</v>
      </c>
      <c r="J45" s="190" t="s">
        <v>177</v>
      </c>
      <c r="K45" s="163">
        <f t="shared" si="3"/>
        <v>8456</v>
      </c>
      <c r="L45" s="177">
        <f>(K45/K43-1)*100</f>
        <v>-33.380603482234307</v>
      </c>
      <c r="M45" s="25"/>
    </row>
    <row r="46" spans="2:13" x14ac:dyDescent="0.2">
      <c r="B46" s="25"/>
      <c r="C46" s="175">
        <v>2002</v>
      </c>
      <c r="D46" s="179">
        <v>768</v>
      </c>
      <c r="E46" s="179">
        <v>310</v>
      </c>
      <c r="F46" s="179">
        <v>5795</v>
      </c>
      <c r="G46" s="179">
        <v>143</v>
      </c>
      <c r="H46" s="179"/>
      <c r="I46" s="190" t="s">
        <v>177</v>
      </c>
      <c r="J46" s="190" t="s">
        <v>177</v>
      </c>
      <c r="K46" s="163">
        <f t="shared" si="3"/>
        <v>7016</v>
      </c>
      <c r="L46" s="177">
        <f>(K46/K45-1)*100</f>
        <v>-17.02932828760644</v>
      </c>
      <c r="M46" s="25"/>
    </row>
    <row r="47" spans="2:13" x14ac:dyDescent="0.2">
      <c r="B47" s="25"/>
      <c r="C47" s="175">
        <v>2003</v>
      </c>
      <c r="D47" s="179">
        <v>692</v>
      </c>
      <c r="E47" s="179">
        <v>439</v>
      </c>
      <c r="F47" s="179">
        <v>5941</v>
      </c>
      <c r="G47" s="179">
        <v>182</v>
      </c>
      <c r="H47" s="179"/>
      <c r="I47" s="190" t="s">
        <v>177</v>
      </c>
      <c r="J47" s="190" t="s">
        <v>177</v>
      </c>
      <c r="K47" s="163">
        <f t="shared" si="3"/>
        <v>7254</v>
      </c>
      <c r="L47" s="177">
        <f t="shared" si="2"/>
        <v>3.3922462941847309</v>
      </c>
      <c r="M47" s="25"/>
    </row>
    <row r="48" spans="2:13" x14ac:dyDescent="0.2">
      <c r="B48" s="25"/>
      <c r="C48" s="175">
        <v>2004</v>
      </c>
      <c r="D48" s="179">
        <v>674</v>
      </c>
      <c r="E48" s="179">
        <v>530</v>
      </c>
      <c r="F48" s="179">
        <v>7480</v>
      </c>
      <c r="G48" s="179">
        <v>208</v>
      </c>
      <c r="H48" s="179"/>
      <c r="I48" s="190" t="s">
        <v>177</v>
      </c>
      <c r="J48" s="190" t="s">
        <v>177</v>
      </c>
      <c r="K48" s="163">
        <f t="shared" si="3"/>
        <v>8892</v>
      </c>
      <c r="L48" s="177">
        <f>(K48/K47-1)*100</f>
        <v>22.580645161290324</v>
      </c>
      <c r="M48" s="25"/>
    </row>
    <row r="49" spans="2:15" x14ac:dyDescent="0.2">
      <c r="B49" s="25"/>
      <c r="C49" s="175">
        <v>2005</v>
      </c>
      <c r="D49" s="179">
        <v>595</v>
      </c>
      <c r="E49" s="179">
        <v>650</v>
      </c>
      <c r="F49" s="179">
        <v>8694</v>
      </c>
      <c r="G49" s="179">
        <v>271</v>
      </c>
      <c r="H49" s="179"/>
      <c r="I49" s="190" t="s">
        <v>177</v>
      </c>
      <c r="J49" s="190" t="s">
        <v>177</v>
      </c>
      <c r="K49" s="163">
        <f t="shared" si="3"/>
        <v>10210</v>
      </c>
      <c r="L49" s="177">
        <f>(K49/K48-1)*100</f>
        <v>14.822312190733244</v>
      </c>
      <c r="M49" s="25"/>
    </row>
    <row r="50" spans="2:15" x14ac:dyDescent="0.2">
      <c r="B50" s="25"/>
      <c r="C50" s="175"/>
      <c r="D50" s="179"/>
      <c r="E50" s="179"/>
      <c r="F50" s="179"/>
      <c r="G50" s="179"/>
      <c r="H50" s="179"/>
      <c r="I50" s="190"/>
      <c r="J50" s="190"/>
      <c r="K50" s="163"/>
      <c r="L50" s="177"/>
      <c r="M50" s="25"/>
    </row>
    <row r="51" spans="2:15" x14ac:dyDescent="0.2">
      <c r="B51" s="25"/>
      <c r="C51" s="175">
        <v>2006</v>
      </c>
      <c r="D51" s="179">
        <v>569</v>
      </c>
      <c r="E51" s="179">
        <v>588</v>
      </c>
      <c r="F51" s="179">
        <v>10735</v>
      </c>
      <c r="G51" s="179">
        <v>385</v>
      </c>
      <c r="H51" s="179"/>
      <c r="I51" s="190" t="s">
        <v>177</v>
      </c>
      <c r="J51" s="190" t="s">
        <v>177</v>
      </c>
      <c r="K51" s="163">
        <f t="shared" si="3"/>
        <v>12277</v>
      </c>
      <c r="L51" s="177">
        <f>(K51/K49-1)*100</f>
        <v>20.244857982370235</v>
      </c>
      <c r="M51" s="25"/>
    </row>
    <row r="52" spans="2:15" x14ac:dyDescent="0.2">
      <c r="B52" s="25"/>
      <c r="C52" s="175">
        <v>2007</v>
      </c>
      <c r="D52" s="179">
        <v>533</v>
      </c>
      <c r="E52" s="179">
        <v>531</v>
      </c>
      <c r="F52" s="179">
        <v>12697</v>
      </c>
      <c r="G52" s="179">
        <v>477</v>
      </c>
      <c r="H52" s="179"/>
      <c r="I52" s="190" t="s">
        <v>177</v>
      </c>
      <c r="J52" s="190" t="s">
        <v>177</v>
      </c>
      <c r="K52" s="163">
        <f t="shared" si="3"/>
        <v>14238</v>
      </c>
      <c r="L52" s="177">
        <f>(K52/K51-1)*100</f>
        <v>15.972957562922542</v>
      </c>
      <c r="M52" s="25"/>
    </row>
    <row r="53" spans="2:15" x14ac:dyDescent="0.2">
      <c r="C53" s="175">
        <v>2008</v>
      </c>
      <c r="D53" s="179">
        <v>293</v>
      </c>
      <c r="E53" s="179">
        <v>510</v>
      </c>
      <c r="F53" s="179">
        <v>10536</v>
      </c>
      <c r="G53" s="179">
        <v>522</v>
      </c>
      <c r="H53" s="25"/>
      <c r="I53" s="190" t="s">
        <v>177</v>
      </c>
      <c r="J53" s="190" t="s">
        <v>177</v>
      </c>
      <c r="K53" s="163">
        <f t="shared" si="3"/>
        <v>11861</v>
      </c>
      <c r="L53" s="298">
        <f t="shared" ref="L53:L67" si="4">(K53/K52-1)*100</f>
        <v>-16.694760500070238</v>
      </c>
      <c r="M53" s="25"/>
      <c r="N53" s="25"/>
      <c r="O53" s="25"/>
    </row>
    <row r="54" spans="2:15" x14ac:dyDescent="0.2">
      <c r="C54" s="175">
        <v>2009</v>
      </c>
      <c r="D54" s="179">
        <v>220</v>
      </c>
      <c r="E54" s="179">
        <v>487</v>
      </c>
      <c r="F54" s="179">
        <v>6764</v>
      </c>
      <c r="G54" s="179">
        <v>392</v>
      </c>
      <c r="H54" s="25"/>
      <c r="I54" s="190" t="s">
        <v>177</v>
      </c>
      <c r="J54" s="190" t="s">
        <v>177</v>
      </c>
      <c r="K54" s="163">
        <f t="shared" si="3"/>
        <v>7863</v>
      </c>
      <c r="L54" s="298">
        <f t="shared" si="4"/>
        <v>-33.707107326532338</v>
      </c>
      <c r="M54" s="25"/>
      <c r="N54" s="25"/>
      <c r="O54" s="25"/>
    </row>
    <row r="55" spans="2:15" x14ac:dyDescent="0.2">
      <c r="C55" s="175">
        <v>2010</v>
      </c>
      <c r="D55" s="179">
        <v>230</v>
      </c>
      <c r="E55" s="179">
        <v>432</v>
      </c>
      <c r="F55" s="179">
        <v>7104</v>
      </c>
      <c r="G55" s="179">
        <v>391</v>
      </c>
      <c r="H55" s="25"/>
      <c r="I55" s="190" t="s">
        <v>177</v>
      </c>
      <c r="J55" s="190" t="s">
        <v>177</v>
      </c>
      <c r="K55" s="163">
        <f t="shared" si="3"/>
        <v>8157</v>
      </c>
      <c r="L55" s="298">
        <f t="shared" si="4"/>
        <v>3.7390309042350189</v>
      </c>
      <c r="M55" s="25"/>
      <c r="N55" s="25"/>
      <c r="O55" s="25"/>
    </row>
    <row r="56" spans="2:15" x14ac:dyDescent="0.2">
      <c r="C56" s="175"/>
      <c r="D56" s="179"/>
      <c r="E56" s="179"/>
      <c r="F56" s="179"/>
      <c r="G56" s="179"/>
      <c r="H56" s="25"/>
      <c r="I56" s="190"/>
      <c r="J56" s="190"/>
      <c r="K56" s="163"/>
      <c r="L56" s="298"/>
      <c r="M56" s="25"/>
      <c r="N56" s="25"/>
      <c r="O56" s="25"/>
    </row>
    <row r="57" spans="2:15" x14ac:dyDescent="0.2">
      <c r="C57" s="175">
        <v>2011</v>
      </c>
      <c r="D57" s="179">
        <v>156</v>
      </c>
      <c r="E57" s="179">
        <v>485</v>
      </c>
      <c r="F57" s="179">
        <v>7980</v>
      </c>
      <c r="G57" s="179">
        <v>443</v>
      </c>
      <c r="H57" s="25"/>
      <c r="I57" s="190" t="s">
        <v>177</v>
      </c>
      <c r="J57" s="190" t="s">
        <v>177</v>
      </c>
      <c r="K57" s="163">
        <f t="shared" si="3"/>
        <v>9064</v>
      </c>
      <c r="L57" s="298">
        <f>(K57/K55-1)*100</f>
        <v>11.119284050508771</v>
      </c>
      <c r="M57" s="25"/>
      <c r="N57" s="25"/>
      <c r="O57" s="25"/>
    </row>
    <row r="58" spans="2:15" x14ac:dyDescent="0.2">
      <c r="C58" s="175">
        <v>2012</v>
      </c>
      <c r="D58" s="179">
        <v>69</v>
      </c>
      <c r="E58" s="179">
        <v>506</v>
      </c>
      <c r="F58" s="179">
        <v>7940</v>
      </c>
      <c r="G58" s="179">
        <v>456</v>
      </c>
      <c r="H58" s="25"/>
      <c r="I58" s="190" t="s">
        <v>177</v>
      </c>
      <c r="J58" s="190" t="s">
        <v>177</v>
      </c>
      <c r="K58" s="163">
        <f t="shared" si="3"/>
        <v>8971</v>
      </c>
      <c r="L58" s="298">
        <f t="shared" si="4"/>
        <v>-1.0260370697263932</v>
      </c>
      <c r="M58" s="25"/>
      <c r="N58" s="25"/>
      <c r="O58" s="25"/>
    </row>
    <row r="59" spans="2:15" x14ac:dyDescent="0.2">
      <c r="C59" s="175">
        <v>2013</v>
      </c>
      <c r="D59" s="179">
        <v>48</v>
      </c>
      <c r="E59" s="179">
        <v>430</v>
      </c>
      <c r="F59" s="179">
        <v>8380</v>
      </c>
      <c r="G59" s="179">
        <v>575</v>
      </c>
      <c r="H59" s="25"/>
      <c r="I59" s="190" t="s">
        <v>177</v>
      </c>
      <c r="J59" s="190" t="s">
        <v>177</v>
      </c>
      <c r="K59" s="163">
        <f t="shared" si="3"/>
        <v>9433</v>
      </c>
      <c r="L59" s="298">
        <f t="shared" si="4"/>
        <v>5.1499275443094517</v>
      </c>
      <c r="M59" s="25"/>
      <c r="N59" s="25"/>
      <c r="O59" s="25"/>
    </row>
    <row r="60" spans="2:15" x14ac:dyDescent="0.2">
      <c r="C60" s="175">
        <v>2014</v>
      </c>
      <c r="D60" s="179">
        <v>29</v>
      </c>
      <c r="E60" s="179">
        <v>408</v>
      </c>
      <c r="F60" s="179">
        <v>9981</v>
      </c>
      <c r="G60" s="179">
        <v>592</v>
      </c>
      <c r="H60" s="25"/>
      <c r="I60" s="190" t="s">
        <v>44</v>
      </c>
      <c r="J60" s="190" t="s">
        <v>177</v>
      </c>
      <c r="K60" s="163">
        <f t="shared" si="3"/>
        <v>11010</v>
      </c>
      <c r="L60" s="298">
        <f t="shared" si="4"/>
        <v>16.717905226333095</v>
      </c>
      <c r="M60" s="25"/>
      <c r="N60" s="25"/>
      <c r="O60" s="25"/>
    </row>
    <row r="61" spans="2:15" x14ac:dyDescent="0.2">
      <c r="C61" s="175">
        <v>2015</v>
      </c>
      <c r="D61" s="179">
        <v>40</v>
      </c>
      <c r="E61" s="179">
        <v>506</v>
      </c>
      <c r="F61" s="179">
        <v>10672</v>
      </c>
      <c r="G61" s="179">
        <v>657</v>
      </c>
      <c r="H61" s="25"/>
      <c r="I61" s="190" t="s">
        <v>44</v>
      </c>
      <c r="J61" s="190" t="s">
        <v>177</v>
      </c>
      <c r="K61" s="163">
        <f t="shared" si="3"/>
        <v>11875</v>
      </c>
      <c r="L61" s="298">
        <f t="shared" si="4"/>
        <v>7.8564940962761121</v>
      </c>
      <c r="M61" s="25"/>
      <c r="N61" s="25"/>
      <c r="O61" s="25"/>
    </row>
    <row r="62" spans="2:15" x14ac:dyDescent="0.2">
      <c r="C62" s="175"/>
      <c r="D62" s="179"/>
      <c r="E62" s="179"/>
      <c r="F62" s="179"/>
      <c r="G62" s="179"/>
      <c r="H62" s="25"/>
      <c r="I62" s="190"/>
      <c r="J62" s="190"/>
      <c r="K62" s="163"/>
      <c r="L62" s="298"/>
      <c r="M62" s="25"/>
      <c r="N62" s="25"/>
      <c r="O62" s="25"/>
    </row>
    <row r="63" spans="2:15" x14ac:dyDescent="0.2">
      <c r="C63" s="175">
        <v>2016</v>
      </c>
      <c r="D63" s="179">
        <v>29</v>
      </c>
      <c r="E63" s="179">
        <v>518</v>
      </c>
      <c r="F63" s="179">
        <v>9812</v>
      </c>
      <c r="G63" s="179">
        <v>610</v>
      </c>
      <c r="H63" s="25"/>
      <c r="I63" s="25">
        <v>205</v>
      </c>
      <c r="J63" s="190" t="s">
        <v>177</v>
      </c>
      <c r="K63" s="163">
        <f t="shared" si="3"/>
        <v>11174</v>
      </c>
      <c r="L63" s="298">
        <f>(K63/K61-1)*100</f>
        <v>-5.903157894736843</v>
      </c>
      <c r="M63" s="25"/>
      <c r="N63" s="25"/>
      <c r="O63" s="25"/>
    </row>
    <row r="64" spans="2:15" x14ac:dyDescent="0.2">
      <c r="C64" s="175">
        <v>2017</v>
      </c>
      <c r="D64" s="179">
        <v>25</v>
      </c>
      <c r="E64" s="179">
        <v>583</v>
      </c>
      <c r="F64" s="179">
        <v>11138</v>
      </c>
      <c r="G64" s="179">
        <v>589</v>
      </c>
      <c r="H64" s="25"/>
      <c r="I64" s="25">
        <v>711</v>
      </c>
      <c r="J64" s="190" t="s">
        <v>177</v>
      </c>
      <c r="K64" s="163">
        <f t="shared" si="3"/>
        <v>13046</v>
      </c>
      <c r="L64" s="298">
        <f t="shared" si="4"/>
        <v>16.753177018077679</v>
      </c>
      <c r="M64" s="25"/>
      <c r="N64" s="25"/>
      <c r="O64" s="25"/>
    </row>
    <row r="65" spans="2:15" x14ac:dyDescent="0.2">
      <c r="C65" s="175">
        <v>2018</v>
      </c>
      <c r="D65" s="179">
        <v>15</v>
      </c>
      <c r="E65" s="179">
        <v>726</v>
      </c>
      <c r="F65" s="179">
        <v>13812</v>
      </c>
      <c r="G65" s="179">
        <v>761</v>
      </c>
      <c r="H65" s="25"/>
      <c r="I65" s="25">
        <v>928</v>
      </c>
      <c r="J65" s="25">
        <v>84</v>
      </c>
      <c r="K65" s="163">
        <f t="shared" si="3"/>
        <v>16326</v>
      </c>
      <c r="L65" s="298">
        <f t="shared" si="4"/>
        <v>25.141805917522618</v>
      </c>
      <c r="M65" s="25"/>
      <c r="N65" s="25"/>
      <c r="O65" s="25"/>
    </row>
    <row r="66" spans="2:15" x14ac:dyDescent="0.2">
      <c r="C66" s="175">
        <v>2019</v>
      </c>
      <c r="D66" s="179">
        <v>25</v>
      </c>
      <c r="E66" s="179">
        <v>738</v>
      </c>
      <c r="F66" s="179">
        <v>10448</v>
      </c>
      <c r="G66" s="179">
        <v>694</v>
      </c>
      <c r="H66" s="179"/>
      <c r="I66" s="25">
        <v>862</v>
      </c>
      <c r="J66" s="25">
        <v>55</v>
      </c>
      <c r="K66" s="163">
        <f>SUM(D66:J66)</f>
        <v>12822</v>
      </c>
      <c r="L66" s="179">
        <f t="shared" si="4"/>
        <v>-21.462697537669971</v>
      </c>
      <c r="M66" s="298"/>
      <c r="N66" s="25"/>
      <c r="O66" s="25"/>
    </row>
    <row r="67" spans="2:15" x14ac:dyDescent="0.2">
      <c r="C67" s="175">
        <v>2020</v>
      </c>
      <c r="D67" s="179">
        <v>13</v>
      </c>
      <c r="E67" s="179">
        <v>648</v>
      </c>
      <c r="F67" s="179">
        <v>9360</v>
      </c>
      <c r="G67" s="179">
        <v>751</v>
      </c>
      <c r="H67" s="25"/>
      <c r="I67" s="25">
        <v>916</v>
      </c>
      <c r="J67" s="25">
        <v>43</v>
      </c>
      <c r="K67" s="163">
        <f>SUM(D67:J67)</f>
        <v>11731</v>
      </c>
      <c r="L67" s="298">
        <f t="shared" si="4"/>
        <v>-8.5088129776945909</v>
      </c>
      <c r="M67" s="25"/>
      <c r="N67" s="25"/>
      <c r="O67" s="25"/>
    </row>
    <row r="68" spans="2:15" x14ac:dyDescent="0.2">
      <c r="C68" s="175"/>
      <c r="D68" s="179"/>
      <c r="E68" s="179"/>
      <c r="F68" s="179"/>
      <c r="G68" s="179"/>
      <c r="H68" s="25"/>
      <c r="I68" s="25"/>
      <c r="J68" s="25"/>
      <c r="K68" s="163"/>
      <c r="L68" s="298"/>
      <c r="M68" s="25"/>
      <c r="N68" s="25"/>
      <c r="O68" s="25"/>
    </row>
    <row r="69" spans="2:15" x14ac:dyDescent="0.2">
      <c r="C69" s="175">
        <v>2021</v>
      </c>
      <c r="D69" s="179">
        <v>15</v>
      </c>
      <c r="E69" s="179">
        <v>845</v>
      </c>
      <c r="F69" s="179">
        <v>13413</v>
      </c>
      <c r="G69" s="179">
        <v>846</v>
      </c>
      <c r="H69" s="25"/>
      <c r="I69" s="264">
        <v>1465</v>
      </c>
      <c r="J69" s="25">
        <v>164</v>
      </c>
      <c r="K69" s="163">
        <f>SUM(D69:J69)</f>
        <v>16748</v>
      </c>
      <c r="L69" s="298">
        <f>(K69/K67-1)*100</f>
        <v>42.767027533884573</v>
      </c>
      <c r="M69" s="25"/>
      <c r="N69" s="25"/>
      <c r="O69" s="25"/>
    </row>
    <row r="70" spans="2:15" x14ac:dyDescent="0.2">
      <c r="C70" s="175">
        <v>2022</v>
      </c>
      <c r="D70" s="179">
        <v>21</v>
      </c>
      <c r="E70" s="179">
        <v>702</v>
      </c>
      <c r="F70" s="179">
        <v>9059</v>
      </c>
      <c r="G70" s="179">
        <v>856</v>
      </c>
      <c r="H70" s="25"/>
      <c r="I70" s="25">
        <v>861</v>
      </c>
      <c r="J70" s="25">
        <v>297</v>
      </c>
      <c r="K70" s="163">
        <f t="shared" ref="K70:K71" si="5">SUM(D70:J70)</f>
        <v>11796</v>
      </c>
      <c r="L70" s="298">
        <f t="shared" ref="L70:L71" si="6">(K70/K69-1)*100</f>
        <v>-29.567709577262956</v>
      </c>
      <c r="M70" s="25"/>
      <c r="N70" s="25"/>
      <c r="O70" s="25"/>
    </row>
    <row r="71" spans="2:15" x14ac:dyDescent="0.2">
      <c r="C71" s="187">
        <v>2023</v>
      </c>
      <c r="D71" s="180">
        <v>8</v>
      </c>
      <c r="E71" s="180">
        <v>681</v>
      </c>
      <c r="F71" s="180">
        <v>7540</v>
      </c>
      <c r="G71" s="180">
        <v>639</v>
      </c>
      <c r="H71" s="132"/>
      <c r="I71" s="168">
        <v>695</v>
      </c>
      <c r="J71" s="132">
        <v>231</v>
      </c>
      <c r="K71" s="180">
        <f t="shared" si="5"/>
        <v>9794</v>
      </c>
      <c r="L71" s="299">
        <f t="shared" si="6"/>
        <v>-16.97185486605629</v>
      </c>
      <c r="M71" s="132"/>
      <c r="N71" s="25"/>
      <c r="O71" s="25"/>
    </row>
    <row r="72" spans="2:15" x14ac:dyDescent="0.2">
      <c r="C72" s="175"/>
      <c r="D72" s="179"/>
      <c r="E72" s="179"/>
      <c r="F72" s="179"/>
      <c r="G72" s="179"/>
      <c r="H72" s="25"/>
      <c r="I72" s="25"/>
      <c r="J72" s="25"/>
      <c r="K72" s="179"/>
      <c r="L72" s="298"/>
      <c r="M72" s="25"/>
      <c r="N72" s="25"/>
      <c r="O72" s="25"/>
    </row>
    <row r="73" spans="2:15" x14ac:dyDescent="0.2">
      <c r="C73" s="140" t="s">
        <v>69</v>
      </c>
    </row>
    <row r="74" spans="2:15" ht="14.25" x14ac:dyDescent="0.2">
      <c r="B74" s="149"/>
      <c r="C74" s="17" t="s">
        <v>27</v>
      </c>
    </row>
    <row r="75" spans="2:15" ht="14.25" x14ac:dyDescent="0.2">
      <c r="B75" s="149"/>
      <c r="C75" s="17" t="s">
        <v>28</v>
      </c>
    </row>
    <row r="76" spans="2:15" ht="14.25" x14ac:dyDescent="0.2">
      <c r="B76" s="149"/>
      <c r="C76" s="17" t="s">
        <v>29</v>
      </c>
    </row>
    <row r="77" spans="2:15" ht="14.25" x14ac:dyDescent="0.2">
      <c r="B77" s="149"/>
      <c r="C77" s="17" t="s">
        <v>30</v>
      </c>
    </row>
    <row r="78" spans="2:15" ht="14.25" x14ac:dyDescent="0.2">
      <c r="B78" s="149"/>
      <c r="C78" s="17" t="s">
        <v>31</v>
      </c>
    </row>
    <row r="79" spans="2:15" ht="14.25" x14ac:dyDescent="0.2">
      <c r="B79" s="149"/>
      <c r="C79" s="17" t="s">
        <v>111</v>
      </c>
    </row>
    <row r="80" spans="2:15" ht="14.25" x14ac:dyDescent="0.2">
      <c r="B80" s="149"/>
      <c r="C80" s="129" t="s">
        <v>173</v>
      </c>
    </row>
    <row r="81" spans="2:17" ht="14.25" x14ac:dyDescent="0.2">
      <c r="B81" s="149"/>
      <c r="C81" s="17" t="s">
        <v>72</v>
      </c>
    </row>
    <row r="82" spans="2:17" ht="14.25" x14ac:dyDescent="0.2">
      <c r="B82" s="149"/>
      <c r="C82" s="17" t="s">
        <v>33</v>
      </c>
    </row>
    <row r="83" spans="2:17" ht="14.25" x14ac:dyDescent="0.2">
      <c r="B83" s="149"/>
      <c r="C83" s="17" t="s">
        <v>233</v>
      </c>
    </row>
    <row r="84" spans="2:17" ht="14.25" x14ac:dyDescent="0.2">
      <c r="B84" s="149"/>
      <c r="C84" s="17" t="s">
        <v>234</v>
      </c>
    </row>
    <row r="85" spans="2:17" ht="14.25" x14ac:dyDescent="0.2">
      <c r="B85" s="149"/>
      <c r="C85" s="17" t="s">
        <v>235</v>
      </c>
    </row>
    <row r="86" spans="2:17" ht="14.25" x14ac:dyDescent="0.2">
      <c r="B86" s="149"/>
      <c r="C86" s="17" t="s">
        <v>236</v>
      </c>
    </row>
    <row r="87" spans="2:17" ht="14.25" x14ac:dyDescent="0.2">
      <c r="B87" s="149"/>
      <c r="C87" s="17" t="s">
        <v>237</v>
      </c>
    </row>
    <row r="88" spans="2:17" ht="14.25" x14ac:dyDescent="0.2">
      <c r="B88" s="149"/>
      <c r="C88" s="17" t="s">
        <v>26</v>
      </c>
    </row>
    <row r="89" spans="2:17" ht="14.25" x14ac:dyDescent="0.2">
      <c r="B89" s="150"/>
      <c r="C89" s="17" t="s">
        <v>65</v>
      </c>
    </row>
    <row r="90" spans="2:17" ht="14.25" x14ac:dyDescent="0.2">
      <c r="B90" s="150"/>
    </row>
    <row r="91" spans="2:17" ht="14.25" x14ac:dyDescent="0.2">
      <c r="B91" s="150"/>
      <c r="C91" s="133" t="s">
        <v>101</v>
      </c>
    </row>
    <row r="92" spans="2:17" ht="14.25" x14ac:dyDescent="0.2">
      <c r="B92" s="150"/>
    </row>
    <row r="93" spans="2:17" x14ac:dyDescent="0.2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</row>
    <row r="94" spans="2:17" x14ac:dyDescent="0.2">
      <c r="B94" s="222"/>
      <c r="C94" s="222"/>
      <c r="D94" s="222"/>
      <c r="E94" s="222"/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134"/>
      <c r="Q94" s="134"/>
    </row>
  </sheetData>
  <mergeCells count="1">
    <mergeCell ref="C7:M7"/>
  </mergeCells>
  <phoneticPr fontId="6" type="noConversion"/>
  <printOptions horizontalCentered="1"/>
  <pageMargins left="1" right="1" top="1" bottom="1" header="0.5" footer="0.24"/>
  <pageSetup scale="68" orientation="portrait" horizontalDpi="300" verticalDpi="300" r:id="rId1"/>
  <headerFooter alignWithMargins="0"/>
  <ignoredErrors>
    <ignoredError sqref="K65:K71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25601" r:id="rId4">
          <objectPr defaultSize="0" autoPict="0" r:id="rId5">
            <anchor moveWithCells="1" sizeWithCells="1">
              <from>
                <xdr:col>0</xdr:col>
                <xdr:colOff>114300</xdr:colOff>
                <xdr:row>1</xdr:row>
                <xdr:rowOff>28575</xdr:rowOff>
              </from>
              <to>
                <xdr:col>2</xdr:col>
                <xdr:colOff>114300</xdr:colOff>
                <xdr:row>2</xdr:row>
                <xdr:rowOff>152400</xdr:rowOff>
              </to>
            </anchor>
          </objectPr>
        </oleObject>
      </mc:Choice>
      <mc:Fallback>
        <oleObject progId="MSPhotoEd.3" shapeId="25601" r:id="rId4"/>
      </mc:Fallback>
    </mc:AlternateContent>
    <mc:AlternateContent xmlns:mc="http://schemas.openxmlformats.org/markup-compatibility/2006">
      <mc:Choice Requires="x14">
        <oleObject progId="MSPhotoEd.3" shapeId="25602" r:id="rId6">
          <objectPr defaultSize="0" autoPict="0" r:id="rId5">
            <anchor moveWithCells="1" sizeWithCells="1">
              <from>
                <xdr:col>0</xdr:col>
                <xdr:colOff>114300</xdr:colOff>
                <xdr:row>1</xdr:row>
                <xdr:rowOff>28575</xdr:rowOff>
              </from>
              <to>
                <xdr:col>2</xdr:col>
                <xdr:colOff>114300</xdr:colOff>
                <xdr:row>2</xdr:row>
                <xdr:rowOff>152400</xdr:rowOff>
              </to>
            </anchor>
          </objectPr>
        </oleObject>
      </mc:Choice>
      <mc:Fallback>
        <oleObject progId="MSPhotoEd.3" shapeId="25602" r:id="rId6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AG34"/>
  <sheetViews>
    <sheetView zoomScaleNormal="100" zoomScaleSheetLayoutView="100" workbookViewId="0">
      <selection activeCell="L10" sqref="L10"/>
    </sheetView>
  </sheetViews>
  <sheetFormatPr defaultRowHeight="12.75" x14ac:dyDescent="0.2"/>
  <cols>
    <col min="1" max="3" width="9.140625" style="17"/>
    <col min="4" max="4" width="16.85546875" style="17" customWidth="1"/>
    <col min="5" max="5" width="15.140625" style="17" customWidth="1"/>
    <col min="6" max="6" width="12.5703125" style="17" customWidth="1"/>
    <col min="7" max="7" width="12.85546875" style="17" customWidth="1"/>
    <col min="8" max="8" width="16" style="17" customWidth="1"/>
    <col min="9" max="16384" width="9.140625" style="17"/>
  </cols>
  <sheetData>
    <row r="2" spans="1:33" x14ac:dyDescent="0.2">
      <c r="F2" s="140" t="s">
        <v>253</v>
      </c>
    </row>
    <row r="8" spans="1:33" ht="15.75" x14ac:dyDescent="0.25">
      <c r="A8" s="130">
        <v>12.1</v>
      </c>
      <c r="B8" s="348" t="s">
        <v>263</v>
      </c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  <c r="AF8" s="348"/>
      <c r="AG8" s="348"/>
    </row>
    <row r="10" spans="1:33" ht="38.25" x14ac:dyDescent="0.2">
      <c r="C10" s="341" t="s">
        <v>0</v>
      </c>
      <c r="D10" s="193" t="s">
        <v>185</v>
      </c>
      <c r="E10" s="343" t="s">
        <v>230</v>
      </c>
      <c r="F10" s="344"/>
      <c r="G10" s="345"/>
      <c r="H10" s="346" t="s">
        <v>186</v>
      </c>
    </row>
    <row r="11" spans="1:33" ht="38.25" x14ac:dyDescent="0.2">
      <c r="C11" s="342"/>
      <c r="D11" s="193" t="s">
        <v>187</v>
      </c>
      <c r="E11" s="224" t="s">
        <v>239</v>
      </c>
      <c r="F11" s="224" t="s">
        <v>231</v>
      </c>
      <c r="G11" s="225" t="s">
        <v>229</v>
      </c>
      <c r="H11" s="347"/>
    </row>
    <row r="12" spans="1:33" x14ac:dyDescent="0.2">
      <c r="C12" s="194">
        <v>2003</v>
      </c>
      <c r="D12" s="195">
        <v>27</v>
      </c>
      <c r="E12" s="195">
        <v>565</v>
      </c>
      <c r="F12" s="195">
        <v>79</v>
      </c>
      <c r="G12" s="195">
        <v>644</v>
      </c>
      <c r="H12" s="195">
        <v>671</v>
      </c>
    </row>
    <row r="13" spans="1:33" x14ac:dyDescent="0.2">
      <c r="C13" s="194">
        <v>2004</v>
      </c>
      <c r="D13" s="195">
        <v>27</v>
      </c>
      <c r="E13" s="195">
        <v>604</v>
      </c>
      <c r="F13" s="195">
        <v>89</v>
      </c>
      <c r="G13" s="195">
        <v>693</v>
      </c>
      <c r="H13" s="195">
        <v>720</v>
      </c>
    </row>
    <row r="14" spans="1:33" x14ac:dyDescent="0.2">
      <c r="C14" s="194">
        <v>2005</v>
      </c>
      <c r="D14" s="195">
        <v>26</v>
      </c>
      <c r="E14" s="195">
        <v>632</v>
      </c>
      <c r="F14" s="195">
        <v>101</v>
      </c>
      <c r="G14" s="195">
        <v>733</v>
      </c>
      <c r="H14" s="195">
        <v>759</v>
      </c>
    </row>
    <row r="15" spans="1:33" x14ac:dyDescent="0.2">
      <c r="C15" s="194">
        <v>2006</v>
      </c>
      <c r="D15" s="195">
        <v>27</v>
      </c>
      <c r="E15" s="195">
        <v>623</v>
      </c>
      <c r="F15" s="195">
        <v>117</v>
      </c>
      <c r="G15" s="195">
        <v>740</v>
      </c>
      <c r="H15" s="195">
        <v>767</v>
      </c>
    </row>
    <row r="16" spans="1:33" x14ac:dyDescent="0.2">
      <c r="C16" s="194">
        <v>2007</v>
      </c>
      <c r="D16" s="195">
        <v>28</v>
      </c>
      <c r="E16" s="195">
        <v>641</v>
      </c>
      <c r="F16" s="195">
        <v>124</v>
      </c>
      <c r="G16" s="195">
        <v>765</v>
      </c>
      <c r="H16" s="195">
        <v>793</v>
      </c>
    </row>
    <row r="17" spans="3:8" x14ac:dyDescent="0.2">
      <c r="C17" s="194">
        <v>2008</v>
      </c>
      <c r="D17" s="195">
        <v>28</v>
      </c>
      <c r="E17" s="195">
        <v>652</v>
      </c>
      <c r="F17" s="195">
        <v>125</v>
      </c>
      <c r="G17" s="195">
        <v>777</v>
      </c>
      <c r="H17" s="195">
        <v>805</v>
      </c>
    </row>
    <row r="18" spans="3:8" x14ac:dyDescent="0.2">
      <c r="C18" s="194">
        <v>2009</v>
      </c>
      <c r="D18" s="195">
        <v>28</v>
      </c>
      <c r="E18" s="195">
        <v>650</v>
      </c>
      <c r="F18" s="195">
        <v>130</v>
      </c>
      <c r="G18" s="195">
        <v>780</v>
      </c>
      <c r="H18" s="195">
        <v>808</v>
      </c>
    </row>
    <row r="19" spans="3:8" x14ac:dyDescent="0.2">
      <c r="C19" s="194">
        <v>2010</v>
      </c>
      <c r="D19" s="195">
        <v>30</v>
      </c>
      <c r="E19" s="195">
        <v>619</v>
      </c>
      <c r="F19" s="195">
        <v>119</v>
      </c>
      <c r="G19" s="195">
        <v>738</v>
      </c>
      <c r="H19" s="195">
        <v>768</v>
      </c>
    </row>
    <row r="20" spans="3:8" x14ac:dyDescent="0.2">
      <c r="C20" s="194">
        <v>2011</v>
      </c>
      <c r="D20" s="195">
        <v>27</v>
      </c>
      <c r="E20" s="195">
        <v>615</v>
      </c>
      <c r="F20" s="195">
        <v>124</v>
      </c>
      <c r="G20" s="195">
        <v>739</v>
      </c>
      <c r="H20" s="195">
        <v>766</v>
      </c>
    </row>
    <row r="21" spans="3:8" x14ac:dyDescent="0.2">
      <c r="C21" s="194">
        <v>2012</v>
      </c>
      <c r="D21" s="195">
        <v>27</v>
      </c>
      <c r="E21" s="195">
        <v>608</v>
      </c>
      <c r="F21" s="195">
        <v>133</v>
      </c>
      <c r="G21" s="195">
        <v>741</v>
      </c>
      <c r="H21" s="195">
        <v>768</v>
      </c>
    </row>
    <row r="22" spans="3:8" x14ac:dyDescent="0.2">
      <c r="C22" s="194">
        <v>2013</v>
      </c>
      <c r="D22" s="195">
        <v>27</v>
      </c>
      <c r="E22" s="195">
        <v>571</v>
      </c>
      <c r="F22" s="195">
        <v>148</v>
      </c>
      <c r="G22" s="195">
        <v>761</v>
      </c>
      <c r="H22" s="195">
        <v>788</v>
      </c>
    </row>
    <row r="23" spans="3:8" x14ac:dyDescent="0.2">
      <c r="C23" s="194">
        <v>2014</v>
      </c>
      <c r="D23" s="195">
        <v>28</v>
      </c>
      <c r="E23" s="195">
        <v>586</v>
      </c>
      <c r="F23" s="195">
        <v>139</v>
      </c>
      <c r="G23" s="195">
        <v>760</v>
      </c>
      <c r="H23" s="195">
        <v>788</v>
      </c>
    </row>
    <row r="24" spans="3:8" x14ac:dyDescent="0.2">
      <c r="C24" s="194">
        <v>2015</v>
      </c>
      <c r="D24" s="195">
        <v>31</v>
      </c>
      <c r="E24" s="195">
        <v>539</v>
      </c>
      <c r="F24" s="195">
        <v>140</v>
      </c>
      <c r="G24" s="195">
        <v>708</v>
      </c>
      <c r="H24" s="195">
        <v>739</v>
      </c>
    </row>
    <row r="25" spans="3:8" x14ac:dyDescent="0.2">
      <c r="C25" s="194">
        <v>2016</v>
      </c>
      <c r="D25" s="195">
        <v>29</v>
      </c>
      <c r="E25" s="195">
        <v>536</v>
      </c>
      <c r="F25" s="195">
        <v>147</v>
      </c>
      <c r="G25" s="195">
        <v>711</v>
      </c>
      <c r="H25" s="195">
        <v>740</v>
      </c>
    </row>
    <row r="26" spans="3:8" x14ac:dyDescent="0.2">
      <c r="C26" s="194">
        <v>2017</v>
      </c>
      <c r="D26" s="195">
        <v>28</v>
      </c>
      <c r="E26" s="195">
        <v>521</v>
      </c>
      <c r="F26" s="195">
        <v>148</v>
      </c>
      <c r="G26" s="195">
        <v>696</v>
      </c>
      <c r="H26" s="195">
        <v>724</v>
      </c>
    </row>
    <row r="27" spans="3:8" x14ac:dyDescent="0.2">
      <c r="C27" s="194">
        <v>2018</v>
      </c>
      <c r="D27" s="195">
        <v>27</v>
      </c>
      <c r="E27" s="195">
        <v>525</v>
      </c>
      <c r="F27" s="195">
        <v>149</v>
      </c>
      <c r="G27" s="195">
        <f>674+25+4</f>
        <v>703</v>
      </c>
      <c r="H27" s="195">
        <v>730</v>
      </c>
    </row>
    <row r="28" spans="3:8" x14ac:dyDescent="0.2">
      <c r="C28" s="194">
        <v>2019</v>
      </c>
      <c r="D28" s="195">
        <v>26</v>
      </c>
      <c r="E28" s="195">
        <v>490</v>
      </c>
      <c r="F28" s="195">
        <v>128</v>
      </c>
      <c r="G28" s="195">
        <v>646</v>
      </c>
      <c r="H28" s="195">
        <v>672</v>
      </c>
    </row>
    <row r="29" spans="3:8" x14ac:dyDescent="0.2">
      <c r="C29" s="194">
        <v>2020</v>
      </c>
      <c r="D29" s="195">
        <v>27</v>
      </c>
      <c r="E29" s="195">
        <v>486</v>
      </c>
      <c r="F29" s="195">
        <v>138</v>
      </c>
      <c r="G29" s="195">
        <v>652</v>
      </c>
      <c r="H29" s="195">
        <v>679</v>
      </c>
    </row>
    <row r="30" spans="3:8" x14ac:dyDescent="0.2">
      <c r="C30" s="194">
        <v>2021</v>
      </c>
      <c r="D30" s="195">
        <v>25</v>
      </c>
      <c r="E30" s="195">
        <v>486</v>
      </c>
      <c r="F30" s="195">
        <v>148</v>
      </c>
      <c r="G30" s="195">
        <v>661</v>
      </c>
      <c r="H30" s="195">
        <v>686</v>
      </c>
    </row>
    <row r="31" spans="3:8" x14ac:dyDescent="0.2">
      <c r="C31" s="194">
        <v>2022</v>
      </c>
      <c r="D31" s="195">
        <v>25</v>
      </c>
      <c r="E31" s="195">
        <v>490</v>
      </c>
      <c r="F31" s="195">
        <v>152</v>
      </c>
      <c r="G31" s="195">
        <v>670</v>
      </c>
      <c r="H31" s="195">
        <v>695</v>
      </c>
    </row>
    <row r="32" spans="3:8" x14ac:dyDescent="0.2">
      <c r="C32" s="196">
        <v>2023</v>
      </c>
      <c r="D32" s="197">
        <v>25</v>
      </c>
      <c r="E32" s="197">
        <v>504</v>
      </c>
      <c r="F32" s="197">
        <v>154</v>
      </c>
      <c r="G32" s="197">
        <f>658+17+8</f>
        <v>683</v>
      </c>
      <c r="H32" s="197">
        <v>708</v>
      </c>
    </row>
    <row r="33" spans="3:3" x14ac:dyDescent="0.2">
      <c r="C33" s="133" t="s">
        <v>100</v>
      </c>
    </row>
    <row r="34" spans="3:3" x14ac:dyDescent="0.2">
      <c r="C34" s="17" t="s">
        <v>240</v>
      </c>
    </row>
  </sheetData>
  <mergeCells count="4">
    <mergeCell ref="C10:C11"/>
    <mergeCell ref="E10:G10"/>
    <mergeCell ref="H10:H11"/>
    <mergeCell ref="B8:AG8"/>
  </mergeCells>
  <pageMargins left="0.7" right="0.7" top="0.75" bottom="0.75" header="0.3" footer="0.3"/>
  <pageSetup scale="91" orientation="portrait" r:id="rId1"/>
  <colBreaks count="1" manualBreakCount="1">
    <brk id="8" max="1048575" man="1"/>
  </colBreaks>
  <drawing r:id="rId2"/>
  <legacyDrawing r:id="rId3"/>
  <oleObjects>
    <mc:AlternateContent xmlns:mc="http://schemas.openxmlformats.org/markup-compatibility/2006">
      <mc:Choice Requires="x14">
        <oleObject progId="MSPhotoEd.3" shapeId="408578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447675</xdr:colOff>
                <xdr:row>3</xdr:row>
                <xdr:rowOff>114300</xdr:rowOff>
              </to>
            </anchor>
          </objectPr>
        </oleObject>
      </mc:Choice>
      <mc:Fallback>
        <oleObject progId="MSPhotoEd.3" shapeId="408578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/>
  <dimension ref="B4:BV102"/>
  <sheetViews>
    <sheetView view="pageBreakPreview" topLeftCell="A12" zoomScaleNormal="100" workbookViewId="0">
      <selection activeCell="AK32" sqref="AK32"/>
    </sheetView>
  </sheetViews>
  <sheetFormatPr defaultRowHeight="12.75" outlineLevelCol="1" x14ac:dyDescent="0.2"/>
  <cols>
    <col min="1" max="1" width="3" customWidth="1"/>
    <col min="2" max="2" width="7.5703125" customWidth="1"/>
    <col min="3" max="3" width="33.28515625" customWidth="1"/>
    <col min="4" max="4" width="10.5703125" hidden="1" customWidth="1" outlineLevel="1"/>
    <col min="5" max="12" width="8" hidden="1" customWidth="1" outlineLevel="1"/>
    <col min="13" max="13" width="8" hidden="1" customWidth="1" collapsed="1"/>
    <col min="14" max="14" width="8" hidden="1" customWidth="1"/>
    <col min="15" max="21" width="8.140625" hidden="1" customWidth="1"/>
    <col min="22" max="27" width="7.7109375" hidden="1" customWidth="1"/>
    <col min="28" max="31" width="12.7109375" hidden="1" customWidth="1"/>
    <col min="32" max="34" width="12.7109375" customWidth="1"/>
    <col min="35" max="35" width="9.5703125" customWidth="1"/>
    <col min="37" max="37" width="9" customWidth="1"/>
  </cols>
  <sheetData>
    <row r="4" spans="2:59" ht="15" x14ac:dyDescent="0.25">
      <c r="Y4" s="332" t="s">
        <v>175</v>
      </c>
      <c r="Z4" s="332"/>
      <c r="AA4" s="332"/>
      <c r="AB4" s="332"/>
      <c r="AC4" s="332"/>
      <c r="AD4" s="332"/>
      <c r="AE4" s="332"/>
      <c r="AF4" s="332"/>
      <c r="AG4" s="332"/>
      <c r="AH4" s="332"/>
      <c r="AI4" s="38"/>
    </row>
    <row r="5" spans="2:59" s="22" customFormat="1" ht="9" customHeight="1" x14ac:dyDescent="0.2"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</row>
    <row r="6" spans="2:59" x14ac:dyDescent="0.2">
      <c r="AY6" s="17"/>
      <c r="AZ6" s="17"/>
      <c r="BA6" s="17"/>
      <c r="BB6" s="17"/>
      <c r="BC6" s="17"/>
      <c r="BD6" s="17"/>
      <c r="BE6" s="17"/>
      <c r="BF6" s="17"/>
      <c r="BG6" s="17"/>
    </row>
    <row r="7" spans="2:59" x14ac:dyDescent="0.2">
      <c r="AL7" s="52"/>
      <c r="AY7" s="17"/>
      <c r="AZ7" s="17"/>
      <c r="BA7" s="17"/>
      <c r="BB7" s="17"/>
      <c r="BC7" s="17"/>
      <c r="BD7" s="17"/>
      <c r="BE7" s="17"/>
      <c r="BF7" s="17"/>
      <c r="BG7" s="17"/>
    </row>
    <row r="8" spans="2:59" ht="15.75" x14ac:dyDescent="0.25">
      <c r="B8" s="51">
        <v>12.1</v>
      </c>
      <c r="C8" s="349" t="s">
        <v>184</v>
      </c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349"/>
      <c r="AF8" s="349"/>
      <c r="AG8" s="349"/>
      <c r="AH8" s="349"/>
      <c r="AI8" s="118"/>
      <c r="AJ8" s="52"/>
      <c r="AK8" s="52"/>
      <c r="AL8" s="52"/>
    </row>
    <row r="9" spans="2:59" x14ac:dyDescent="0.2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</row>
    <row r="10" spans="2:59" x14ac:dyDescent="0.2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9"/>
      <c r="AI10" s="49"/>
      <c r="AJ10" s="52"/>
      <c r="AK10" s="52"/>
      <c r="AL10" s="52"/>
    </row>
    <row r="11" spans="2:59" x14ac:dyDescent="0.2">
      <c r="B11" s="52"/>
      <c r="C11" s="60"/>
      <c r="D11" s="60">
        <v>1981</v>
      </c>
      <c r="E11" s="60">
        <v>1982</v>
      </c>
      <c r="F11" s="60">
        <v>1983</v>
      </c>
      <c r="G11" s="60">
        <v>1984</v>
      </c>
      <c r="H11" s="60">
        <v>1985</v>
      </c>
      <c r="I11" s="60">
        <v>1986</v>
      </c>
      <c r="J11" s="60">
        <v>1987</v>
      </c>
      <c r="K11" s="60">
        <v>1988</v>
      </c>
      <c r="L11" s="60">
        <v>1989</v>
      </c>
      <c r="M11" s="60">
        <v>1990</v>
      </c>
      <c r="N11" s="60">
        <v>1991</v>
      </c>
      <c r="O11" s="60">
        <v>1992</v>
      </c>
      <c r="P11" s="60">
        <v>1993</v>
      </c>
      <c r="Q11" s="61">
        <v>1994</v>
      </c>
      <c r="R11" s="61">
        <v>1995</v>
      </c>
      <c r="S11" s="61">
        <v>1996</v>
      </c>
      <c r="T11" s="61">
        <v>1997</v>
      </c>
      <c r="U11" s="61">
        <v>1998</v>
      </c>
      <c r="V11" s="61">
        <v>1999</v>
      </c>
      <c r="W11" s="62">
        <v>2000</v>
      </c>
      <c r="X11" s="63">
        <v>2001</v>
      </c>
      <c r="Y11" s="63">
        <v>2002</v>
      </c>
      <c r="Z11" s="63">
        <v>2003</v>
      </c>
      <c r="AA11" s="63">
        <v>2004</v>
      </c>
      <c r="AB11" s="63">
        <v>2005</v>
      </c>
      <c r="AC11" s="63">
        <v>2006</v>
      </c>
      <c r="AD11" s="63">
        <v>2008</v>
      </c>
      <c r="AE11" s="63">
        <v>2009</v>
      </c>
      <c r="AF11" s="63">
        <v>2010</v>
      </c>
      <c r="AG11" s="63">
        <v>2011</v>
      </c>
      <c r="AH11" s="63">
        <v>2012</v>
      </c>
      <c r="AI11" s="63">
        <v>2013</v>
      </c>
      <c r="AJ11" s="63">
        <v>2014</v>
      </c>
      <c r="AK11" s="63">
        <v>2015</v>
      </c>
      <c r="AL11" s="63">
        <v>2016</v>
      </c>
    </row>
    <row r="12" spans="2:59" x14ac:dyDescent="0.2">
      <c r="B12" s="52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100"/>
      <c r="R12" s="100"/>
      <c r="S12" s="100"/>
      <c r="T12" s="100"/>
      <c r="U12" s="100"/>
      <c r="V12" s="100"/>
      <c r="W12" s="95"/>
      <c r="X12" s="66"/>
      <c r="Y12" s="66"/>
      <c r="Z12" s="66"/>
      <c r="AA12" s="66"/>
      <c r="AB12" s="66"/>
      <c r="AC12" s="66"/>
      <c r="AD12" s="66"/>
      <c r="AE12" s="66"/>
      <c r="AF12" s="66"/>
      <c r="AG12" s="52"/>
      <c r="AH12" s="66"/>
      <c r="AI12" s="66"/>
      <c r="AJ12" s="66"/>
      <c r="AK12" s="66"/>
      <c r="AL12" s="66"/>
    </row>
    <row r="13" spans="2:59" ht="15" x14ac:dyDescent="0.25">
      <c r="B13" s="52"/>
      <c r="C13" s="101" t="s">
        <v>79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Q13">
        <v>4932.3999999999996</v>
      </c>
    </row>
    <row r="14" spans="2:59" ht="15" x14ac:dyDescent="0.25">
      <c r="B14" s="52"/>
      <c r="C14" s="102" t="s">
        <v>112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Q14">
        <v>2281.6999999999998</v>
      </c>
    </row>
    <row r="15" spans="2:59" x14ac:dyDescent="0.2">
      <c r="B15" s="52"/>
      <c r="C15" s="103" t="s">
        <v>36</v>
      </c>
      <c r="D15" s="53">
        <v>21</v>
      </c>
      <c r="E15" s="53">
        <v>22</v>
      </c>
      <c r="F15" s="53">
        <v>22</v>
      </c>
      <c r="G15" s="53">
        <v>28</v>
      </c>
      <c r="H15" s="53">
        <v>28</v>
      </c>
      <c r="I15" s="53">
        <v>28</v>
      </c>
      <c r="J15" s="53">
        <v>28</v>
      </c>
      <c r="K15" s="53">
        <v>29</v>
      </c>
      <c r="L15" s="53">
        <v>30</v>
      </c>
      <c r="M15" s="53">
        <v>30</v>
      </c>
      <c r="N15" s="53">
        <v>30</v>
      </c>
      <c r="O15" s="53">
        <v>30</v>
      </c>
      <c r="P15" s="53">
        <v>28</v>
      </c>
      <c r="Q15" s="53">
        <v>27</v>
      </c>
      <c r="R15" s="53">
        <v>29</v>
      </c>
      <c r="S15" s="53">
        <v>30</v>
      </c>
      <c r="T15" s="53">
        <v>29</v>
      </c>
      <c r="U15" s="53">
        <v>31</v>
      </c>
      <c r="V15" s="53">
        <v>32</v>
      </c>
      <c r="W15" s="53">
        <v>30</v>
      </c>
      <c r="X15" s="53">
        <v>28</v>
      </c>
      <c r="Y15" s="53">
        <v>27</v>
      </c>
      <c r="Z15" s="76">
        <v>27</v>
      </c>
      <c r="AA15" s="76">
        <v>27</v>
      </c>
      <c r="AB15" s="76">
        <v>26</v>
      </c>
      <c r="AC15" s="76">
        <v>27</v>
      </c>
      <c r="AD15" s="76">
        <v>28</v>
      </c>
      <c r="AE15" s="76">
        <v>27</v>
      </c>
      <c r="AF15" s="76">
        <v>30</v>
      </c>
      <c r="AG15" s="76">
        <v>27</v>
      </c>
      <c r="AH15" s="76">
        <v>27</v>
      </c>
      <c r="AI15" s="76">
        <v>27</v>
      </c>
      <c r="AJ15" s="76">
        <v>28</v>
      </c>
      <c r="AK15" s="76">
        <v>31</v>
      </c>
      <c r="AL15" s="76"/>
      <c r="AQ15">
        <v>100.2</v>
      </c>
    </row>
    <row r="16" spans="2:59" x14ac:dyDescent="0.2">
      <c r="B16" s="52"/>
      <c r="C16" s="10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76"/>
      <c r="AA16" s="76"/>
      <c r="AB16" s="76"/>
      <c r="AC16" s="76"/>
      <c r="AD16" s="76"/>
      <c r="AE16" s="76"/>
      <c r="AF16" s="76"/>
      <c r="AG16" s="52"/>
      <c r="AH16" s="76"/>
      <c r="AI16" s="76"/>
      <c r="AJ16" s="76"/>
      <c r="AK16" s="76"/>
      <c r="AL16" s="76"/>
      <c r="AQ16">
        <v>2181.5</v>
      </c>
    </row>
    <row r="17" spans="2:43" ht="15" x14ac:dyDescent="0.25">
      <c r="B17" s="52"/>
      <c r="C17" s="102" t="s">
        <v>114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104"/>
      <c r="V17" s="104"/>
      <c r="W17" s="104"/>
      <c r="X17" s="104"/>
      <c r="Y17" s="104"/>
      <c r="Z17" s="104"/>
      <c r="AA17" s="104"/>
      <c r="AB17" s="104"/>
      <c r="AC17" s="104"/>
      <c r="AD17" s="52"/>
      <c r="AE17" s="52"/>
      <c r="AF17" s="52"/>
      <c r="AG17" s="52"/>
      <c r="AH17" s="52"/>
      <c r="AI17" s="52"/>
      <c r="AJ17" s="52"/>
      <c r="AK17" s="52"/>
      <c r="AL17" s="52"/>
      <c r="AQ17">
        <v>2650.7</v>
      </c>
    </row>
    <row r="18" spans="2:43" hidden="1" x14ac:dyDescent="0.2">
      <c r="B18" s="52"/>
      <c r="C18" s="103" t="s">
        <v>35</v>
      </c>
      <c r="D18" s="53">
        <v>9</v>
      </c>
      <c r="E18" s="53">
        <v>4</v>
      </c>
      <c r="F18" s="53">
        <v>10</v>
      </c>
      <c r="G18" s="53">
        <v>13</v>
      </c>
      <c r="H18" s="53">
        <v>12</v>
      </c>
      <c r="I18" s="53">
        <v>12</v>
      </c>
      <c r="J18" s="53">
        <v>20</v>
      </c>
      <c r="K18" s="53">
        <v>26</v>
      </c>
      <c r="L18" s="53">
        <v>11</v>
      </c>
      <c r="M18" s="53">
        <v>6</v>
      </c>
      <c r="N18" s="53">
        <v>13</v>
      </c>
      <c r="O18" s="53">
        <v>20</v>
      </c>
      <c r="P18" s="53">
        <v>14</v>
      </c>
      <c r="Q18" s="53">
        <v>23</v>
      </c>
      <c r="R18" s="53">
        <v>21</v>
      </c>
      <c r="S18" s="53">
        <v>32</v>
      </c>
      <c r="T18" s="53">
        <v>22</v>
      </c>
      <c r="U18" s="53">
        <v>8</v>
      </c>
      <c r="V18" s="53">
        <v>9</v>
      </c>
      <c r="W18" s="53">
        <v>14</v>
      </c>
      <c r="X18" s="53">
        <v>12</v>
      </c>
      <c r="Y18" s="53">
        <v>0</v>
      </c>
      <c r="Z18" s="76">
        <v>0</v>
      </c>
      <c r="AA18" s="76">
        <v>0</v>
      </c>
      <c r="AB18" s="76">
        <v>0</v>
      </c>
      <c r="AC18" s="76">
        <v>0</v>
      </c>
      <c r="AD18" s="52"/>
      <c r="AE18" s="52"/>
      <c r="AF18" s="52"/>
      <c r="AG18" s="52"/>
      <c r="AH18" s="52"/>
      <c r="AI18" s="52"/>
      <c r="AJ18" s="52"/>
      <c r="AK18" s="52"/>
      <c r="AL18" s="52"/>
      <c r="AQ18">
        <v>2971.2</v>
      </c>
    </row>
    <row r="19" spans="2:43" x14ac:dyDescent="0.2">
      <c r="B19" s="52"/>
      <c r="C19" s="103" t="s">
        <v>36</v>
      </c>
      <c r="D19" s="53">
        <v>72</v>
      </c>
      <c r="E19" s="53">
        <v>74</v>
      </c>
      <c r="F19" s="53">
        <v>77</v>
      </c>
      <c r="G19" s="53">
        <v>86</v>
      </c>
      <c r="H19" s="53">
        <v>91</v>
      </c>
      <c r="I19" s="53">
        <v>90</v>
      </c>
      <c r="J19" s="53">
        <v>92</v>
      </c>
      <c r="K19" s="53">
        <v>106</v>
      </c>
      <c r="L19" s="53">
        <v>109</v>
      </c>
      <c r="M19" s="53">
        <v>105</v>
      </c>
      <c r="N19" s="53">
        <v>106</v>
      </c>
      <c r="O19" s="53">
        <v>118</v>
      </c>
      <c r="P19" s="53">
        <v>131</v>
      </c>
      <c r="Q19" s="53">
        <v>134</v>
      </c>
      <c r="R19" s="53">
        <v>133</v>
      </c>
      <c r="S19" s="53">
        <v>132</v>
      </c>
      <c r="T19" s="53">
        <v>138</v>
      </c>
      <c r="U19" s="53">
        <v>136</v>
      </c>
      <c r="V19" s="53">
        <v>140</v>
      </c>
      <c r="W19" s="53">
        <v>121</v>
      </c>
      <c r="X19" s="53">
        <f t="shared" ref="X19:AC19" si="0">+X82</f>
        <v>121</v>
      </c>
      <c r="Y19" s="53">
        <f t="shared" si="0"/>
        <v>115</v>
      </c>
      <c r="Z19" s="53">
        <f t="shared" si="0"/>
        <v>115</v>
      </c>
      <c r="AA19" s="53">
        <f t="shared" si="0"/>
        <v>117</v>
      </c>
      <c r="AB19" s="53">
        <f t="shared" si="0"/>
        <v>112</v>
      </c>
      <c r="AC19" s="53">
        <f t="shared" si="0"/>
        <v>140</v>
      </c>
      <c r="AD19" s="76">
        <v>146</v>
      </c>
      <c r="AE19" s="76">
        <f>96+32+26</f>
        <v>154</v>
      </c>
      <c r="AF19" s="76">
        <v>175</v>
      </c>
      <c r="AG19" s="52">
        <v>128</v>
      </c>
      <c r="AH19" s="76">
        <v>128</v>
      </c>
      <c r="AI19" s="76">
        <v>133</v>
      </c>
      <c r="AJ19" s="76">
        <v>131</v>
      </c>
      <c r="AK19" s="76"/>
      <c r="AL19" s="76"/>
      <c r="AQ19">
        <v>243.6</v>
      </c>
    </row>
    <row r="20" spans="2:43" x14ac:dyDescent="0.2">
      <c r="B20" s="52"/>
      <c r="C20" s="10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76"/>
      <c r="AE20" s="76"/>
      <c r="AF20" s="76"/>
      <c r="AG20" s="52"/>
      <c r="AH20" s="76"/>
      <c r="AI20" s="76"/>
      <c r="AJ20" s="76"/>
      <c r="AK20" s="76"/>
      <c r="AL20" s="76"/>
      <c r="AQ20">
        <v>70.099999999999994</v>
      </c>
    </row>
    <row r="21" spans="2:43" ht="15" x14ac:dyDescent="0.25">
      <c r="B21" s="52"/>
      <c r="C21" s="102" t="s">
        <v>98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3"/>
      <c r="U21" s="53"/>
      <c r="V21" s="52"/>
      <c r="W21" s="53"/>
      <c r="X21" s="52"/>
      <c r="Y21" s="52"/>
      <c r="Z21" s="105"/>
      <c r="AA21" s="105"/>
      <c r="AB21" s="105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Q21">
        <v>2657.5</v>
      </c>
    </row>
    <row r="22" spans="2:43" ht="15" x14ac:dyDescent="0.25">
      <c r="B22" s="52"/>
      <c r="C22" s="102" t="s">
        <v>157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3"/>
      <c r="U22" s="106"/>
      <c r="V22" s="107"/>
      <c r="W22" s="108"/>
      <c r="X22" s="108"/>
      <c r="Y22" s="108"/>
      <c r="Z22" s="108"/>
      <c r="AA22" s="108"/>
      <c r="AB22" s="108"/>
      <c r="AC22" s="108"/>
      <c r="AD22" s="52"/>
      <c r="AE22" s="52"/>
      <c r="AF22" s="52"/>
      <c r="AG22" s="52"/>
      <c r="AH22" s="52"/>
      <c r="AI22" s="52"/>
      <c r="AJ22" s="52"/>
      <c r="AK22" s="52"/>
      <c r="AL22" s="52"/>
      <c r="AQ22">
        <v>-320.5</v>
      </c>
    </row>
    <row r="23" spans="2:43" x14ac:dyDescent="0.2">
      <c r="B23" s="52"/>
      <c r="C23" s="103" t="s">
        <v>66</v>
      </c>
      <c r="D23" s="67"/>
      <c r="E23" s="67"/>
      <c r="F23" s="67">
        <v>3.1</v>
      </c>
      <c r="G23" s="67">
        <v>3.8</v>
      </c>
      <c r="H23" s="67">
        <v>6</v>
      </c>
      <c r="I23" s="67">
        <v>6.6</v>
      </c>
      <c r="J23" s="67">
        <v>6.8</v>
      </c>
      <c r="K23" s="67">
        <v>8.3000000000000007</v>
      </c>
      <c r="L23" s="67">
        <v>8.9</v>
      </c>
      <c r="M23" s="67">
        <v>9.1</v>
      </c>
      <c r="N23" s="67">
        <v>9.3000000000000007</v>
      </c>
      <c r="O23" s="67">
        <v>8.3000000000000007</v>
      </c>
      <c r="P23" s="109">
        <v>10.4</v>
      </c>
      <c r="Q23" s="67">
        <v>14.2</v>
      </c>
      <c r="R23" s="110">
        <v>15.5</v>
      </c>
      <c r="S23" s="110">
        <v>15.7</v>
      </c>
      <c r="T23" s="67">
        <v>21.3</v>
      </c>
      <c r="U23" s="67">
        <f>SUM(U94:U95,U92)</f>
        <v>31.884802999999998</v>
      </c>
      <c r="V23" s="67">
        <f t="shared" ref="V23:AC23" si="1">SUM(V94:V95,V92)</f>
        <v>32.988280000000003</v>
      </c>
      <c r="W23" s="67">
        <f t="shared" si="1"/>
        <v>50.252262000000002</v>
      </c>
      <c r="X23" s="110">
        <f t="shared" si="1"/>
        <v>49.357517000000001</v>
      </c>
      <c r="Y23" s="110">
        <f t="shared" si="1"/>
        <v>62.442419000000001</v>
      </c>
      <c r="Z23" s="111">
        <f t="shared" si="1"/>
        <v>60.906117999999999</v>
      </c>
      <c r="AA23" s="111">
        <f t="shared" si="1"/>
        <v>70.392916999999997</v>
      </c>
      <c r="AB23" s="111">
        <f t="shared" si="1"/>
        <v>95.826057000000006</v>
      </c>
      <c r="AC23" s="111">
        <f t="shared" si="1"/>
        <v>114.741614</v>
      </c>
      <c r="AD23" s="111">
        <v>148.80000000000001</v>
      </c>
      <c r="AE23" s="111">
        <v>145.30000000000001</v>
      </c>
      <c r="AF23" s="111">
        <v>163.69999999999999</v>
      </c>
      <c r="AG23" s="68">
        <v>184.4</v>
      </c>
      <c r="AH23" s="68">
        <v>190.7</v>
      </c>
      <c r="AI23" s="68">
        <f>18.6+8.8+149.5</f>
        <v>176.9</v>
      </c>
      <c r="AJ23" s="68">
        <v>217.4</v>
      </c>
      <c r="AK23" s="68"/>
      <c r="AL23" s="68"/>
    </row>
    <row r="24" spans="2:43" x14ac:dyDescent="0.2">
      <c r="B24" s="52"/>
      <c r="C24" s="103" t="s">
        <v>45</v>
      </c>
      <c r="D24" s="67"/>
      <c r="E24" s="67"/>
      <c r="F24" s="67">
        <v>2.8</v>
      </c>
      <c r="G24" s="67">
        <v>2.9</v>
      </c>
      <c r="H24" s="67">
        <v>3</v>
      </c>
      <c r="I24" s="67">
        <v>2.8</v>
      </c>
      <c r="J24" s="67">
        <v>3.6</v>
      </c>
      <c r="K24" s="67">
        <v>4</v>
      </c>
      <c r="L24" s="67">
        <v>4.4000000000000004</v>
      </c>
      <c r="M24" s="67">
        <v>4.5999999999999996</v>
      </c>
      <c r="N24" s="67">
        <v>4.4000000000000004</v>
      </c>
      <c r="O24" s="67">
        <v>4.9000000000000004</v>
      </c>
      <c r="P24" s="67">
        <v>5.4</v>
      </c>
      <c r="Q24" s="67">
        <v>5.9</v>
      </c>
      <c r="R24" s="110">
        <v>6.3</v>
      </c>
      <c r="S24" s="110">
        <v>6.7</v>
      </c>
      <c r="T24" s="67">
        <v>9.1999999999999993</v>
      </c>
      <c r="U24" s="67">
        <f>U87</f>
        <v>9.8000290000000003</v>
      </c>
      <c r="V24" s="67">
        <f t="shared" ref="V24:AC24" si="2">V87</f>
        <v>9.9968690000000002</v>
      </c>
      <c r="W24" s="67">
        <f t="shared" si="2"/>
        <v>10.786045</v>
      </c>
      <c r="X24" s="67">
        <f t="shared" si="2"/>
        <v>12.067042000000001</v>
      </c>
      <c r="Y24" s="67">
        <f t="shared" si="2"/>
        <v>12.422836</v>
      </c>
      <c r="Z24" s="67">
        <f t="shared" si="2"/>
        <v>13.570627999999999</v>
      </c>
      <c r="AA24" s="67">
        <f t="shared" si="2"/>
        <v>11.730959</v>
      </c>
      <c r="AB24" s="67">
        <f t="shared" si="2"/>
        <v>19.103974000000001</v>
      </c>
      <c r="AC24" s="67">
        <f t="shared" si="2"/>
        <v>25.030587000000001</v>
      </c>
      <c r="AD24" s="67">
        <v>26.7</v>
      </c>
      <c r="AE24" s="67">
        <v>25.6</v>
      </c>
      <c r="AF24" s="112">
        <v>24</v>
      </c>
      <c r="AG24" s="68">
        <v>23.7</v>
      </c>
      <c r="AH24" s="68">
        <v>23.8</v>
      </c>
      <c r="AI24" s="68">
        <v>14.9</v>
      </c>
      <c r="AJ24" s="68">
        <v>22.7</v>
      </c>
      <c r="AK24" s="68"/>
      <c r="AL24" s="68"/>
      <c r="AQ24">
        <v>4932.3999999999996</v>
      </c>
    </row>
    <row r="25" spans="2:43" x14ac:dyDescent="0.2">
      <c r="B25" s="52"/>
      <c r="C25" s="103" t="s">
        <v>46</v>
      </c>
      <c r="D25" s="67"/>
      <c r="E25" s="67"/>
      <c r="F25" s="67">
        <v>2.9</v>
      </c>
      <c r="G25" s="67">
        <v>3.8</v>
      </c>
      <c r="H25" s="67">
        <v>4.2</v>
      </c>
      <c r="I25" s="67">
        <v>5.5</v>
      </c>
      <c r="J25" s="67">
        <v>5.5</v>
      </c>
      <c r="K25" s="67">
        <v>6.9</v>
      </c>
      <c r="L25" s="67">
        <v>7.1</v>
      </c>
      <c r="M25" s="67">
        <v>7.5</v>
      </c>
      <c r="N25" s="67">
        <v>7.9</v>
      </c>
      <c r="O25" s="67">
        <v>13.5</v>
      </c>
      <c r="P25" s="67">
        <v>20.6</v>
      </c>
      <c r="Q25" s="67">
        <v>20.399999999999999</v>
      </c>
      <c r="R25" s="110">
        <v>19.2</v>
      </c>
      <c r="S25" s="110">
        <v>12.8</v>
      </c>
      <c r="T25" s="67">
        <v>21.5</v>
      </c>
      <c r="U25" s="67">
        <f>SUM(U86,U88,U91,U93,U96)</f>
        <v>25.754124000000001</v>
      </c>
      <c r="V25" s="67">
        <f t="shared" ref="V25:AC25" si="3">SUM(V86,V88,V91,V93,V96)</f>
        <v>29.800332999999995</v>
      </c>
      <c r="W25" s="67">
        <f t="shared" si="3"/>
        <v>42.139158000000002</v>
      </c>
      <c r="X25" s="67">
        <f t="shared" si="3"/>
        <v>51.383851999999997</v>
      </c>
      <c r="Y25" s="67">
        <f t="shared" si="3"/>
        <v>65.184924999999993</v>
      </c>
      <c r="Z25" s="67">
        <f t="shared" si="3"/>
        <v>63.604448999999995</v>
      </c>
      <c r="AA25" s="67">
        <f t="shared" si="3"/>
        <v>65.695994999999996</v>
      </c>
      <c r="AB25" s="67">
        <f t="shared" si="3"/>
        <v>104.62401799999999</v>
      </c>
      <c r="AC25" s="67">
        <f t="shared" si="3"/>
        <v>135.35360599999998</v>
      </c>
      <c r="AD25" s="67">
        <v>146.69999999999999</v>
      </c>
      <c r="AE25" s="67">
        <v>143.30000000000001</v>
      </c>
      <c r="AF25" s="112">
        <v>151.19999999999999</v>
      </c>
      <c r="AG25" s="68">
        <v>171.6</v>
      </c>
      <c r="AH25" s="68">
        <v>169.2</v>
      </c>
      <c r="AI25" s="68">
        <f>31.8+23.9+66.4</f>
        <v>122.10000000000001</v>
      </c>
      <c r="AJ25" s="68">
        <v>214.7</v>
      </c>
      <c r="AK25" s="68"/>
      <c r="AL25" s="68"/>
      <c r="AQ25">
        <v>1209.0999999999999</v>
      </c>
    </row>
    <row r="26" spans="2:43" x14ac:dyDescent="0.2">
      <c r="B26" s="52"/>
      <c r="C26" s="96" t="s">
        <v>80</v>
      </c>
      <c r="D26" s="113">
        <f t="shared" ref="D26:K26" si="4">SUM(D23:D25)</f>
        <v>0</v>
      </c>
      <c r="E26" s="113">
        <f t="shared" si="4"/>
        <v>0</v>
      </c>
      <c r="F26" s="113">
        <f t="shared" si="4"/>
        <v>8.8000000000000007</v>
      </c>
      <c r="G26" s="113">
        <f t="shared" si="4"/>
        <v>10.5</v>
      </c>
      <c r="H26" s="113">
        <f t="shared" ref="H26:N26" si="5">SUM(H23:H25)</f>
        <v>13.2</v>
      </c>
      <c r="I26" s="113">
        <f t="shared" si="4"/>
        <v>14.899999999999999</v>
      </c>
      <c r="J26" s="113">
        <f t="shared" si="4"/>
        <v>15.9</v>
      </c>
      <c r="K26" s="113">
        <f t="shared" si="4"/>
        <v>19.200000000000003</v>
      </c>
      <c r="L26" s="113">
        <f t="shared" si="5"/>
        <v>20.399999999999999</v>
      </c>
      <c r="M26" s="113">
        <f t="shared" si="5"/>
        <v>21.2</v>
      </c>
      <c r="N26" s="113">
        <f t="shared" si="5"/>
        <v>21.6</v>
      </c>
      <c r="O26" s="113">
        <f>SUM(O23:O25)</f>
        <v>26.700000000000003</v>
      </c>
      <c r="P26" s="114">
        <v>36.4</v>
      </c>
      <c r="Q26" s="113">
        <f>SUM(Q23:Q25)</f>
        <v>40.5</v>
      </c>
      <c r="R26" s="113">
        <v>41</v>
      </c>
      <c r="S26" s="113">
        <v>35.200000000000003</v>
      </c>
      <c r="T26" s="113">
        <v>52</v>
      </c>
      <c r="U26" s="113">
        <f>SUM(U23:U25)</f>
        <v>67.438956000000005</v>
      </c>
      <c r="V26" s="113">
        <f t="shared" ref="V26:AC26" si="6">SUM(V23:V25)</f>
        <v>72.785482000000002</v>
      </c>
      <c r="W26" s="113">
        <f t="shared" si="6"/>
        <v>103.17746500000001</v>
      </c>
      <c r="X26" s="113">
        <f t="shared" si="6"/>
        <v>112.80841100000001</v>
      </c>
      <c r="Y26" s="113">
        <f t="shared" si="6"/>
        <v>140.05018000000001</v>
      </c>
      <c r="Z26" s="113">
        <f t="shared" si="6"/>
        <v>138.08119499999998</v>
      </c>
      <c r="AA26" s="113">
        <f t="shared" si="6"/>
        <v>147.81987099999998</v>
      </c>
      <c r="AB26" s="113">
        <f t="shared" si="6"/>
        <v>219.55404900000002</v>
      </c>
      <c r="AC26" s="113">
        <f t="shared" si="6"/>
        <v>275.12580700000001</v>
      </c>
      <c r="AD26" s="113">
        <f>SUM(AD23:AD25)</f>
        <v>322.2</v>
      </c>
      <c r="AE26" s="113">
        <f>SUM(AE23:AE25)</f>
        <v>314.20000000000005</v>
      </c>
      <c r="AF26" s="113">
        <f>SUM(AF23:AF25)</f>
        <v>338.9</v>
      </c>
      <c r="AG26" s="113">
        <f>SUM(AG23:AG25)</f>
        <v>379.7</v>
      </c>
      <c r="AH26" s="119">
        <v>383.7</v>
      </c>
      <c r="AI26" s="119">
        <v>314.10000000000002</v>
      </c>
      <c r="AJ26" s="119">
        <v>454.8</v>
      </c>
      <c r="AK26" s="119"/>
      <c r="AL26" s="119"/>
      <c r="AQ26">
        <v>95.5</v>
      </c>
    </row>
    <row r="27" spans="2:43" x14ac:dyDescent="0.2">
      <c r="B27" s="52"/>
      <c r="C27" s="52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53"/>
      <c r="U27" s="67"/>
      <c r="V27" s="67"/>
      <c r="W27" s="67"/>
      <c r="X27" s="67"/>
      <c r="Y27" s="67"/>
      <c r="Z27" s="67"/>
      <c r="AA27" s="67"/>
      <c r="AB27" s="67"/>
      <c r="AC27" s="67"/>
      <c r="AD27" s="52"/>
      <c r="AE27" s="52"/>
      <c r="AF27" s="52"/>
      <c r="AG27" s="52"/>
      <c r="AH27" s="52"/>
      <c r="AI27" s="52"/>
      <c r="AJ27" s="52"/>
      <c r="AK27" s="52"/>
      <c r="AL27" s="52"/>
      <c r="AQ27">
        <v>1113.5999999999999</v>
      </c>
    </row>
    <row r="28" spans="2:43" hidden="1" x14ac:dyDescent="0.2">
      <c r="B28" s="52"/>
      <c r="C28" s="52" t="s">
        <v>38</v>
      </c>
      <c r="D28" s="67">
        <v>17.7</v>
      </c>
      <c r="E28" s="67"/>
      <c r="F28" s="67"/>
      <c r="G28" s="67"/>
      <c r="H28" s="67">
        <v>17.7</v>
      </c>
      <c r="I28" s="67">
        <v>21.4</v>
      </c>
      <c r="J28" s="67">
        <v>23</v>
      </c>
      <c r="K28" s="67">
        <v>26.5</v>
      </c>
      <c r="L28" s="67">
        <v>29.9</v>
      </c>
      <c r="M28" s="67">
        <v>30.1</v>
      </c>
      <c r="N28" s="67">
        <v>30.2</v>
      </c>
      <c r="O28" s="67">
        <v>30.3</v>
      </c>
      <c r="P28" s="67">
        <v>31</v>
      </c>
      <c r="Q28" s="67">
        <v>37</v>
      </c>
      <c r="R28" s="110" t="s">
        <v>37</v>
      </c>
      <c r="S28" s="110">
        <v>24.4</v>
      </c>
      <c r="T28" s="67">
        <v>44.1</v>
      </c>
      <c r="U28" s="68"/>
      <c r="V28" s="68"/>
      <c r="W28" s="68"/>
      <c r="X28" s="68"/>
      <c r="Y28" s="68"/>
      <c r="Z28" s="68"/>
      <c r="AA28" s="68"/>
      <c r="AB28" s="68"/>
      <c r="AC28" s="68"/>
      <c r="AD28" s="52"/>
      <c r="AE28" s="52"/>
      <c r="AF28" s="52"/>
      <c r="AG28" s="52"/>
      <c r="AH28" s="52"/>
      <c r="AI28" s="52"/>
      <c r="AJ28" s="52"/>
      <c r="AK28" s="52"/>
      <c r="AL28" s="52"/>
      <c r="AQ28">
        <v>460.6</v>
      </c>
    </row>
    <row r="29" spans="2:43" hidden="1" x14ac:dyDescent="0.2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3"/>
      <c r="U29" s="53"/>
      <c r="V29" s="52"/>
      <c r="W29" s="53"/>
      <c r="X29" s="52"/>
      <c r="Y29" s="52"/>
      <c r="Z29" s="73"/>
      <c r="AA29" s="73"/>
      <c r="AB29" s="73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Q29">
        <v>653</v>
      </c>
    </row>
    <row r="30" spans="2:43" ht="15" x14ac:dyDescent="0.25">
      <c r="B30" s="52"/>
      <c r="C30" s="115" t="s">
        <v>118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2"/>
      <c r="W30" s="53"/>
      <c r="X30" s="52"/>
      <c r="Y30" s="52"/>
      <c r="Z30" s="73"/>
      <c r="AA30" s="73"/>
      <c r="AB30" s="73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Q30">
        <v>3723.3</v>
      </c>
    </row>
    <row r="31" spans="2:43" x14ac:dyDescent="0.2">
      <c r="B31" s="52"/>
      <c r="C31" s="103" t="s">
        <v>35</v>
      </c>
      <c r="D31" s="53">
        <v>25</v>
      </c>
      <c r="E31" s="53">
        <v>69</v>
      </c>
      <c r="F31" s="53">
        <v>46</v>
      </c>
      <c r="G31" s="53">
        <v>23</v>
      </c>
      <c r="H31" s="53">
        <v>50</v>
      </c>
      <c r="I31" s="53">
        <v>65</v>
      </c>
      <c r="J31" s="53">
        <v>56</v>
      </c>
      <c r="K31" s="53">
        <v>29</v>
      </c>
      <c r="L31" s="53">
        <v>28</v>
      </c>
      <c r="M31" s="53">
        <v>20</v>
      </c>
      <c r="N31" s="53">
        <v>31</v>
      </c>
      <c r="O31" s="53">
        <v>24</v>
      </c>
      <c r="P31" s="53">
        <v>38</v>
      </c>
      <c r="Q31" s="53">
        <v>45</v>
      </c>
      <c r="R31" s="53">
        <v>49</v>
      </c>
      <c r="S31" s="53">
        <v>41</v>
      </c>
      <c r="T31" s="53">
        <v>50</v>
      </c>
      <c r="U31" s="53">
        <v>52</v>
      </c>
      <c r="V31" s="53">
        <v>37</v>
      </c>
      <c r="W31" s="53">
        <v>45</v>
      </c>
      <c r="X31" s="53">
        <v>47</v>
      </c>
      <c r="Y31" s="53">
        <v>97</v>
      </c>
      <c r="Z31" s="76">
        <v>83</v>
      </c>
      <c r="AA31" s="76">
        <v>75</v>
      </c>
      <c r="AB31" s="76">
        <v>59</v>
      </c>
      <c r="AC31" s="76">
        <v>56</v>
      </c>
      <c r="AD31" s="76">
        <v>32</v>
      </c>
      <c r="AE31" s="76">
        <v>40</v>
      </c>
      <c r="AF31" s="76">
        <v>25</v>
      </c>
      <c r="AG31" s="76">
        <v>38</v>
      </c>
      <c r="AH31" s="76">
        <v>53</v>
      </c>
      <c r="AI31" s="76">
        <v>40</v>
      </c>
      <c r="AJ31" s="76">
        <v>21</v>
      </c>
      <c r="AK31" s="76"/>
      <c r="AL31" s="76"/>
      <c r="AQ31">
        <v>3382</v>
      </c>
    </row>
    <row r="32" spans="2:43" x14ac:dyDescent="0.2">
      <c r="B32" s="52"/>
      <c r="C32" s="103" t="s">
        <v>36</v>
      </c>
      <c r="D32" s="53">
        <v>183</v>
      </c>
      <c r="E32" s="53">
        <v>252</v>
      </c>
      <c r="F32" s="53">
        <v>274</v>
      </c>
      <c r="G32" s="53">
        <v>271</v>
      </c>
      <c r="H32" s="53">
        <v>296</v>
      </c>
      <c r="I32" s="53">
        <v>341</v>
      </c>
      <c r="J32" s="53">
        <v>358</v>
      </c>
      <c r="K32" s="53">
        <v>362</v>
      </c>
      <c r="L32" s="53">
        <v>360</v>
      </c>
      <c r="M32" s="53">
        <v>360</v>
      </c>
      <c r="N32" s="53">
        <v>367</v>
      </c>
      <c r="O32" s="53">
        <v>372</v>
      </c>
      <c r="P32" s="53">
        <v>352</v>
      </c>
      <c r="Q32" s="53">
        <v>361</v>
      </c>
      <c r="R32" s="53">
        <v>390</v>
      </c>
      <c r="S32" s="53">
        <v>418</v>
      </c>
      <c r="T32" s="53">
        <v>449</v>
      </c>
      <c r="U32" s="53">
        <v>485</v>
      </c>
      <c r="V32" s="53">
        <v>497</v>
      </c>
      <c r="W32" s="53">
        <v>516</v>
      </c>
      <c r="X32" s="53">
        <v>543</v>
      </c>
      <c r="Y32" s="53">
        <v>600</v>
      </c>
      <c r="Z32" s="76">
        <v>644</v>
      </c>
      <c r="AA32" s="76">
        <v>693</v>
      </c>
      <c r="AB32" s="76">
        <v>733</v>
      </c>
      <c r="AC32" s="76">
        <v>740</v>
      </c>
      <c r="AD32" s="76">
        <v>777</v>
      </c>
      <c r="AE32" s="76">
        <v>780</v>
      </c>
      <c r="AF32" s="76">
        <v>738</v>
      </c>
      <c r="AG32" s="76">
        <v>739</v>
      </c>
      <c r="AH32" s="76">
        <v>741</v>
      </c>
      <c r="AI32" s="76">
        <v>761</v>
      </c>
      <c r="AJ32" s="76">
        <v>760</v>
      </c>
      <c r="AK32" s="76"/>
      <c r="AL32" s="76"/>
    </row>
    <row r="33" spans="2:38" x14ac:dyDescent="0.2">
      <c r="B33" s="52"/>
      <c r="C33" s="65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2"/>
      <c r="W33" s="53"/>
      <c r="X33" s="52"/>
      <c r="Y33" s="52"/>
      <c r="Z33" s="73"/>
      <c r="AA33" s="73"/>
      <c r="AB33" s="73"/>
      <c r="AC33" s="52"/>
      <c r="AD33" s="52"/>
      <c r="AE33" s="52"/>
      <c r="AF33" s="52"/>
      <c r="AG33" s="52"/>
      <c r="AH33" s="52"/>
      <c r="AI33" s="52"/>
      <c r="AJ33" s="52"/>
      <c r="AK33" s="52"/>
      <c r="AL33" s="52"/>
    </row>
    <row r="34" spans="2:38" ht="15.75" x14ac:dyDescent="0.25">
      <c r="B34" s="52"/>
      <c r="C34" s="117" t="s">
        <v>143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2"/>
      <c r="W34" s="53"/>
      <c r="X34" s="52"/>
      <c r="Y34" s="52"/>
      <c r="Z34" s="73"/>
      <c r="AA34" s="73"/>
      <c r="AB34" s="73"/>
      <c r="AC34" s="52"/>
      <c r="AD34" s="52"/>
      <c r="AE34" s="52"/>
      <c r="AF34" s="52"/>
      <c r="AG34" s="52"/>
      <c r="AH34" s="52"/>
      <c r="AI34" s="52"/>
      <c r="AJ34" s="52"/>
      <c r="AK34" s="52"/>
      <c r="AL34" s="52"/>
    </row>
    <row r="35" spans="2:38" x14ac:dyDescent="0.2">
      <c r="B35" s="52"/>
      <c r="C35" s="70" t="s">
        <v>120</v>
      </c>
      <c r="D35" s="53"/>
      <c r="E35" s="53"/>
      <c r="F35" s="53">
        <v>758</v>
      </c>
      <c r="G35" s="53">
        <v>1173</v>
      </c>
      <c r="H35" s="53">
        <v>1261</v>
      </c>
      <c r="I35" s="53">
        <v>1579</v>
      </c>
      <c r="J35" s="53">
        <v>1603</v>
      </c>
      <c r="K35" s="53">
        <v>1613</v>
      </c>
      <c r="L35" s="53">
        <v>1229</v>
      </c>
      <c r="M35" s="53">
        <v>1255</v>
      </c>
      <c r="N35" s="53">
        <v>1525</v>
      </c>
      <c r="O35" s="53">
        <v>1300</v>
      </c>
      <c r="P35" s="53">
        <v>1300</v>
      </c>
      <c r="Q35" s="53">
        <v>1563</v>
      </c>
      <c r="R35" s="54">
        <v>1549</v>
      </c>
      <c r="S35" s="54">
        <v>1299</v>
      </c>
      <c r="T35" s="53">
        <v>2049</v>
      </c>
      <c r="U35" s="53">
        <v>2332</v>
      </c>
      <c r="V35" s="52">
        <v>2372</v>
      </c>
      <c r="W35" s="53">
        <v>3270</v>
      </c>
      <c r="X35" s="53">
        <v>2994</v>
      </c>
      <c r="Y35" s="53">
        <v>4177</v>
      </c>
      <c r="Z35" s="76">
        <v>4939</v>
      </c>
      <c r="AA35" s="76">
        <v>5602</v>
      </c>
      <c r="AB35" s="76">
        <v>6720</v>
      </c>
      <c r="AC35" s="53">
        <f>7053718515/1000000</f>
        <v>7053.7185149999996</v>
      </c>
      <c r="AD35" s="53">
        <v>7740</v>
      </c>
      <c r="AE35" s="53">
        <v>7482</v>
      </c>
      <c r="AF35" s="80">
        <v>8664</v>
      </c>
      <c r="AG35" s="76">
        <v>11758</v>
      </c>
      <c r="AH35" s="53">
        <v>11835</v>
      </c>
      <c r="AI35" s="76">
        <v>12581</v>
      </c>
      <c r="AJ35" s="76">
        <v>12086</v>
      </c>
      <c r="AK35" s="76"/>
      <c r="AL35" s="76"/>
    </row>
    <row r="36" spans="2:38" x14ac:dyDescent="0.2">
      <c r="B36" s="52"/>
      <c r="C36" s="70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4"/>
      <c r="S36" s="54"/>
      <c r="T36" s="53"/>
      <c r="U36" s="53"/>
      <c r="V36" s="52"/>
      <c r="W36" s="53"/>
      <c r="X36" s="52"/>
      <c r="Y36" s="52"/>
      <c r="Z36" s="73"/>
      <c r="AA36" s="73"/>
      <c r="AB36" s="73"/>
      <c r="AC36" s="52"/>
      <c r="AD36" s="52"/>
      <c r="AE36" s="52"/>
      <c r="AF36" s="52"/>
      <c r="AG36" s="52"/>
      <c r="AH36" s="52"/>
      <c r="AI36" s="52"/>
      <c r="AJ36" s="52"/>
      <c r="AK36" s="52"/>
      <c r="AL36" s="52"/>
    </row>
    <row r="37" spans="2:38" x14ac:dyDescent="0.2">
      <c r="B37" s="52"/>
      <c r="C37" s="70" t="s">
        <v>156</v>
      </c>
      <c r="D37" s="53"/>
      <c r="E37" s="53"/>
      <c r="F37" s="53"/>
      <c r="G37" s="53"/>
      <c r="H37" s="53">
        <v>75</v>
      </c>
      <c r="I37" s="53">
        <v>326</v>
      </c>
      <c r="J37" s="53">
        <v>289</v>
      </c>
      <c r="K37" s="53">
        <v>380</v>
      </c>
      <c r="L37" s="53">
        <v>-95</v>
      </c>
      <c r="M37" s="53">
        <v>200</v>
      </c>
      <c r="N37" s="53">
        <v>250</v>
      </c>
      <c r="O37" s="53">
        <v>142</v>
      </c>
      <c r="P37" s="116">
        <v>165</v>
      </c>
      <c r="Q37" s="53">
        <v>326</v>
      </c>
      <c r="R37" s="54">
        <v>370</v>
      </c>
      <c r="S37" s="54">
        <v>189</v>
      </c>
      <c r="T37" s="53">
        <v>237</v>
      </c>
      <c r="U37" s="53">
        <v>243</v>
      </c>
      <c r="V37" s="53">
        <v>438</v>
      </c>
      <c r="W37" s="53">
        <v>583</v>
      </c>
      <c r="X37" s="53">
        <v>594</v>
      </c>
      <c r="Y37" s="53">
        <v>581</v>
      </c>
      <c r="Z37" s="76">
        <v>253</v>
      </c>
      <c r="AA37" s="76">
        <v>494</v>
      </c>
      <c r="AB37" s="76">
        <v>934</v>
      </c>
      <c r="AC37" s="53">
        <f>1298814235/1000000</f>
        <v>1298.8142350000001</v>
      </c>
      <c r="AD37" s="53">
        <v>1890</v>
      </c>
      <c r="AE37" s="53">
        <v>949</v>
      </c>
      <c r="AF37" s="80">
        <v>1297</v>
      </c>
      <c r="AG37" s="76">
        <v>1003</v>
      </c>
      <c r="AH37" s="53">
        <v>2055</v>
      </c>
      <c r="AI37" s="76">
        <v>734</v>
      </c>
      <c r="AJ37" s="76">
        <v>1349</v>
      </c>
      <c r="AK37" s="76"/>
      <c r="AL37" s="76"/>
    </row>
    <row r="38" spans="2:38" x14ac:dyDescent="0.2">
      <c r="B38" s="52"/>
      <c r="C38" s="70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4"/>
      <c r="S38" s="54"/>
      <c r="T38" s="53"/>
      <c r="U38" s="53"/>
      <c r="V38" s="52"/>
      <c r="W38" s="53"/>
      <c r="X38" s="52"/>
      <c r="Y38" s="52"/>
      <c r="Z38" s="73"/>
      <c r="AA38" s="73"/>
      <c r="AB38" s="73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x14ac:dyDescent="0.2">
      <c r="B39" s="52"/>
      <c r="C39" s="70" t="s">
        <v>41</v>
      </c>
      <c r="D39" s="53"/>
      <c r="E39" s="53"/>
      <c r="F39" s="53"/>
      <c r="G39" s="53"/>
      <c r="H39" s="53">
        <v>2601</v>
      </c>
      <c r="I39" s="53">
        <v>2493</v>
      </c>
      <c r="J39" s="53">
        <v>3830</v>
      </c>
      <c r="K39" s="53">
        <v>4481</v>
      </c>
      <c r="L39" s="53">
        <v>4182</v>
      </c>
      <c r="M39" s="53">
        <v>4222</v>
      </c>
      <c r="N39" s="53">
        <v>4280</v>
      </c>
      <c r="O39" s="53">
        <v>4200</v>
      </c>
      <c r="P39" s="53">
        <v>4400</v>
      </c>
      <c r="Q39" s="53">
        <v>5610</v>
      </c>
      <c r="R39" s="54">
        <v>6315</v>
      </c>
      <c r="S39" s="54">
        <v>5327</v>
      </c>
      <c r="T39" s="53">
        <v>8375</v>
      </c>
      <c r="U39" s="53">
        <v>11089</v>
      </c>
      <c r="V39" s="53">
        <v>12050</v>
      </c>
      <c r="W39" s="53">
        <v>14836</v>
      </c>
      <c r="X39" s="53">
        <v>14993</v>
      </c>
      <c r="Y39" s="53">
        <v>17733</v>
      </c>
      <c r="Z39" s="76">
        <v>19247</v>
      </c>
      <c r="AA39" s="76">
        <v>22282</v>
      </c>
      <c r="AB39" s="76">
        <v>26677</v>
      </c>
      <c r="AC39" s="53">
        <f>29586363897/1000000</f>
        <v>29586.363896999999</v>
      </c>
      <c r="AD39" s="53">
        <v>36911</v>
      </c>
      <c r="AE39" s="53">
        <v>44708</v>
      </c>
      <c r="AF39" s="80">
        <v>57983</v>
      </c>
      <c r="AG39" s="76">
        <v>68505</v>
      </c>
      <c r="AH39" s="53">
        <v>88050</v>
      </c>
      <c r="AI39" s="76">
        <v>69192</v>
      </c>
      <c r="AJ39" s="76">
        <v>51477</v>
      </c>
      <c r="AK39" s="76"/>
      <c r="AL39" s="76"/>
    </row>
    <row r="40" spans="2:38" hidden="1" x14ac:dyDescent="0.2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3"/>
      <c r="U40" s="53"/>
      <c r="V40" s="52"/>
      <c r="W40" s="53"/>
      <c r="X40" s="52"/>
      <c r="Y40" s="52"/>
      <c r="Z40" s="73"/>
      <c r="AA40" s="73"/>
      <c r="AB40" s="73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idden="1" x14ac:dyDescent="0.2">
      <c r="B41" s="52"/>
      <c r="C41" s="71" t="s">
        <v>39</v>
      </c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3"/>
      <c r="U41" s="53"/>
      <c r="V41" s="52"/>
      <c r="W41" s="53"/>
      <c r="X41" s="52"/>
      <c r="Y41" s="52"/>
      <c r="Z41" s="73"/>
      <c r="AA41" s="73"/>
      <c r="AB41" s="73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idden="1" x14ac:dyDescent="0.2">
      <c r="B42" s="52"/>
      <c r="C42" s="52" t="s">
        <v>35</v>
      </c>
      <c r="D42" s="53" t="e">
        <f>D31+D18+#REF!</f>
        <v>#REF!</v>
      </c>
      <c r="E42" s="53" t="e">
        <f>E31+E18+#REF!</f>
        <v>#REF!</v>
      </c>
      <c r="F42" s="53" t="e">
        <f>F31+F18+#REF!</f>
        <v>#REF!</v>
      </c>
      <c r="G42" s="53" t="e">
        <f>G31+G18+#REF!</f>
        <v>#REF!</v>
      </c>
      <c r="H42" s="53" t="e">
        <f>H31+H18+#REF!</f>
        <v>#REF!</v>
      </c>
      <c r="I42" s="53" t="e">
        <f>I31+I18+#REF!</f>
        <v>#REF!</v>
      </c>
      <c r="J42" s="53" t="e">
        <f>J31+J18+#REF!</f>
        <v>#REF!</v>
      </c>
      <c r="K42" s="53" t="e">
        <f>K31+K18+#REF!</f>
        <v>#REF!</v>
      </c>
      <c r="L42" s="53" t="e">
        <f>L31+L18+#REF!</f>
        <v>#REF!</v>
      </c>
      <c r="M42" s="53" t="e">
        <f>M31+M18+#REF!</f>
        <v>#REF!</v>
      </c>
      <c r="N42" s="53" t="e">
        <f>N31+N18+#REF!</f>
        <v>#REF!</v>
      </c>
      <c r="O42" s="53" t="e">
        <f>O31+O18+#REF!</f>
        <v>#REF!</v>
      </c>
      <c r="P42" s="53" t="e">
        <f>P31+P18+#REF!</f>
        <v>#REF!</v>
      </c>
      <c r="Q42" s="53" t="e">
        <f>Q31+Q18+#REF!</f>
        <v>#REF!</v>
      </c>
      <c r="R42" s="53" t="e">
        <f>R31+R18+#REF!</f>
        <v>#REF!</v>
      </c>
      <c r="S42" s="53">
        <v>76</v>
      </c>
      <c r="T42" s="53">
        <v>72</v>
      </c>
      <c r="U42" s="53">
        <v>62</v>
      </c>
      <c r="V42" s="53">
        <v>47</v>
      </c>
      <c r="W42" s="53">
        <v>61</v>
      </c>
      <c r="X42" s="53">
        <v>59</v>
      </c>
      <c r="Y42" s="53">
        <v>104</v>
      </c>
      <c r="Z42" s="73"/>
      <c r="AA42" s="73"/>
      <c r="AB42" s="73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idden="1" x14ac:dyDescent="0.2">
      <c r="B43" s="52"/>
      <c r="C43" s="52" t="s">
        <v>36</v>
      </c>
      <c r="D43" s="53">
        <f t="shared" ref="D43:Q43" si="7">D32+D19+D15</f>
        <v>276</v>
      </c>
      <c r="E43" s="53">
        <f t="shared" si="7"/>
        <v>348</v>
      </c>
      <c r="F43" s="53">
        <f t="shared" si="7"/>
        <v>373</v>
      </c>
      <c r="G43" s="53">
        <f t="shared" si="7"/>
        <v>385</v>
      </c>
      <c r="H43" s="53">
        <f t="shared" si="7"/>
        <v>415</v>
      </c>
      <c r="I43" s="53">
        <f t="shared" si="7"/>
        <v>459</v>
      </c>
      <c r="J43" s="53">
        <f t="shared" si="7"/>
        <v>478</v>
      </c>
      <c r="K43" s="53">
        <f t="shared" si="7"/>
        <v>497</v>
      </c>
      <c r="L43" s="53">
        <f t="shared" si="7"/>
        <v>499</v>
      </c>
      <c r="M43" s="53">
        <f t="shared" si="7"/>
        <v>495</v>
      </c>
      <c r="N43" s="53">
        <f t="shared" si="7"/>
        <v>503</v>
      </c>
      <c r="O43" s="53">
        <f t="shared" si="7"/>
        <v>520</v>
      </c>
      <c r="P43" s="53">
        <f t="shared" si="7"/>
        <v>511</v>
      </c>
      <c r="Q43" s="53">
        <f t="shared" si="7"/>
        <v>522</v>
      </c>
      <c r="R43" s="53">
        <v>498</v>
      </c>
      <c r="S43" s="53">
        <f t="shared" ref="S43:Y43" si="8">S32+S19+S15</f>
        <v>580</v>
      </c>
      <c r="T43" s="53">
        <f t="shared" si="8"/>
        <v>616</v>
      </c>
      <c r="U43" s="53">
        <f t="shared" si="8"/>
        <v>652</v>
      </c>
      <c r="V43" s="53">
        <f t="shared" si="8"/>
        <v>669</v>
      </c>
      <c r="W43" s="53">
        <f t="shared" si="8"/>
        <v>667</v>
      </c>
      <c r="X43" s="53">
        <f t="shared" si="8"/>
        <v>692</v>
      </c>
      <c r="Y43" s="53">
        <f t="shared" si="8"/>
        <v>742</v>
      </c>
      <c r="Z43" s="73"/>
      <c r="AA43" s="73"/>
      <c r="AB43" s="73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x14ac:dyDescent="0.2">
      <c r="B44" s="4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6"/>
      <c r="X44" s="59"/>
      <c r="Y44" s="59"/>
      <c r="Z44" s="88"/>
      <c r="AA44" s="88"/>
      <c r="AB44" s="88"/>
      <c r="AC44" s="59"/>
      <c r="AD44" s="59"/>
      <c r="AE44" s="59"/>
      <c r="AF44" s="59"/>
      <c r="AG44" s="59"/>
      <c r="AH44" s="59"/>
      <c r="AI44" s="59"/>
      <c r="AJ44" s="59"/>
      <c r="AK44" s="59"/>
      <c r="AL44" s="59"/>
    </row>
    <row r="45" spans="2:38" x14ac:dyDescent="0.2"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55"/>
      <c r="X45" s="49"/>
      <c r="Y45" s="49"/>
      <c r="Z45" s="89"/>
      <c r="AA45" s="89"/>
      <c r="AB45" s="89"/>
      <c r="AC45" s="49"/>
      <c r="AD45" s="49"/>
      <c r="AE45" s="49"/>
      <c r="AF45" s="49"/>
      <c r="AG45" s="49"/>
      <c r="AH45" s="49"/>
      <c r="AI45" s="49"/>
      <c r="AJ45" s="52"/>
      <c r="AK45" s="52"/>
      <c r="AL45" s="52"/>
    </row>
    <row r="46" spans="2:38" x14ac:dyDescent="0.2">
      <c r="B46" s="52"/>
      <c r="C46" s="57" t="s">
        <v>69</v>
      </c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</row>
    <row r="47" spans="2:38" ht="14.25" x14ac:dyDescent="0.2">
      <c r="B47" s="72"/>
      <c r="C47" s="52" t="s">
        <v>113</v>
      </c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</row>
    <row r="48" spans="2:38" ht="14.25" x14ac:dyDescent="0.2">
      <c r="B48" s="72"/>
      <c r="C48" s="52" t="s">
        <v>115</v>
      </c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</row>
    <row r="49" spans="2:38" ht="14.25" x14ac:dyDescent="0.2">
      <c r="B49" s="72"/>
      <c r="C49" s="52" t="s">
        <v>116</v>
      </c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</row>
    <row r="50" spans="2:38" ht="14.25" x14ac:dyDescent="0.2">
      <c r="B50" s="72"/>
      <c r="C50" s="52" t="s">
        <v>168</v>
      </c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</row>
    <row r="51" spans="2:38" ht="14.25" x14ac:dyDescent="0.2">
      <c r="B51" s="72"/>
      <c r="C51" s="52" t="s">
        <v>117</v>
      </c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</row>
    <row r="52" spans="2:38" ht="14.25" x14ac:dyDescent="0.2">
      <c r="B52" s="72"/>
      <c r="C52" s="52" t="s">
        <v>178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</row>
    <row r="53" spans="2:38" ht="14.25" x14ac:dyDescent="0.2">
      <c r="B53" s="72"/>
      <c r="C53" s="52" t="s">
        <v>119</v>
      </c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</row>
    <row r="54" spans="2:38" ht="14.25" x14ac:dyDescent="0.2">
      <c r="B54" s="72"/>
      <c r="C54" s="73" t="s">
        <v>121</v>
      </c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</row>
    <row r="55" spans="2:38" ht="14.25" x14ac:dyDescent="0.2">
      <c r="B55" s="72"/>
      <c r="C55" s="52" t="s">
        <v>122</v>
      </c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</row>
    <row r="56" spans="2:38" ht="14.25" x14ac:dyDescent="0.2">
      <c r="B56" s="74"/>
      <c r="C56" s="73" t="s">
        <v>158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</row>
    <row r="57" spans="2:38" ht="14.25" x14ac:dyDescent="0.2">
      <c r="B57" s="74"/>
      <c r="C57" s="98" t="s">
        <v>74</v>
      </c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</row>
    <row r="58" spans="2:38" ht="14.25" x14ac:dyDescent="0.2">
      <c r="B58" s="74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</row>
    <row r="59" spans="2:38" ht="14.25" x14ac:dyDescent="0.2">
      <c r="B59" s="74"/>
      <c r="C59" s="58" t="s">
        <v>100</v>
      </c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</row>
    <row r="60" spans="2:38" ht="14.25" x14ac:dyDescent="0.2">
      <c r="B60" s="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</row>
    <row r="61" spans="2:38" ht="14.25" x14ac:dyDescent="0.2">
      <c r="B61" s="2"/>
    </row>
    <row r="62" spans="2:38" ht="14.25" x14ac:dyDescent="0.2">
      <c r="B62" s="2"/>
    </row>
    <row r="63" spans="2:38" ht="14.25" x14ac:dyDescent="0.2">
      <c r="B63" s="2"/>
    </row>
    <row r="64" spans="2:38" ht="14.25" x14ac:dyDescent="0.2">
      <c r="B64" s="2"/>
    </row>
    <row r="65" spans="2:74" ht="14.25" x14ac:dyDescent="0.2">
      <c r="B65" s="2"/>
    </row>
    <row r="66" spans="2:74" ht="14.25" x14ac:dyDescent="0.2">
      <c r="B66" s="2"/>
    </row>
    <row r="67" spans="2:74" ht="14.25" x14ac:dyDescent="0.2">
      <c r="B67" s="2"/>
    </row>
    <row r="68" spans="2:74" ht="14.25" x14ac:dyDescent="0.2">
      <c r="B68" s="2"/>
    </row>
    <row r="69" spans="2:74" ht="14.25" x14ac:dyDescent="0.2">
      <c r="B69" s="2"/>
    </row>
    <row r="70" spans="2:74" ht="14.25" x14ac:dyDescent="0.2">
      <c r="B70" s="2"/>
    </row>
    <row r="71" spans="2:74" ht="14.25" x14ac:dyDescent="0.2">
      <c r="B71" s="2"/>
    </row>
    <row r="72" spans="2:74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</row>
    <row r="73" spans="2:74" s="22" customFormat="1" ht="9" customHeight="1" x14ac:dyDescent="0.2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2:74" x14ac:dyDescent="0.2">
      <c r="B74" s="333">
        <f>'.09'!B92:N92+1</f>
        <v>1</v>
      </c>
      <c r="C74" s="333"/>
      <c r="D74" s="333"/>
      <c r="E74" s="333"/>
      <c r="F74" s="333"/>
      <c r="G74" s="333"/>
      <c r="H74" s="333"/>
      <c r="I74" s="333"/>
      <c r="J74" s="333"/>
      <c r="K74" s="333"/>
      <c r="L74" s="333"/>
      <c r="M74" s="333"/>
      <c r="N74" s="333"/>
      <c r="O74" s="333"/>
      <c r="P74" s="333"/>
      <c r="Q74" s="333"/>
      <c r="R74" s="333"/>
      <c r="S74" s="333"/>
      <c r="T74" s="333"/>
      <c r="U74" s="333"/>
      <c r="V74" s="333"/>
      <c r="W74" s="333"/>
      <c r="X74" s="333"/>
      <c r="Y74" s="333"/>
      <c r="Z74" s="333"/>
      <c r="AA74" s="333"/>
      <c r="AB74" s="333"/>
      <c r="AC74" s="333"/>
      <c r="AD74" s="333"/>
      <c r="AE74" s="333"/>
      <c r="AF74" s="333"/>
      <c r="AG74" s="333"/>
      <c r="AH74" s="333"/>
      <c r="AI74" s="4"/>
    </row>
    <row r="76" spans="2:74" x14ac:dyDescent="0.2">
      <c r="U76" s="11">
        <v>1998</v>
      </c>
      <c r="V76" s="11">
        <v>1999</v>
      </c>
      <c r="W76" s="12">
        <v>2000</v>
      </c>
      <c r="X76" s="14">
        <v>2001</v>
      </c>
      <c r="Y76" s="14">
        <v>2002</v>
      </c>
      <c r="Z76" s="14">
        <v>2003</v>
      </c>
      <c r="AA76" s="14">
        <v>2004</v>
      </c>
      <c r="AB76" s="20">
        <v>2005</v>
      </c>
      <c r="AC76" s="20">
        <v>2006</v>
      </c>
      <c r="AD76" s="14">
        <v>2007</v>
      </c>
      <c r="AE76" s="14">
        <v>2008</v>
      </c>
      <c r="AF76" s="14"/>
      <c r="AG76" s="14"/>
      <c r="AH76" s="14">
        <v>2009</v>
      </c>
      <c r="AI76" s="37"/>
    </row>
    <row r="78" spans="2:74" x14ac:dyDescent="0.2">
      <c r="X78">
        <v>72</v>
      </c>
      <c r="Y78">
        <v>69</v>
      </c>
      <c r="Z78">
        <v>66</v>
      </c>
      <c r="AA78">
        <v>66</v>
      </c>
      <c r="AB78">
        <v>57</v>
      </c>
      <c r="AC78">
        <v>87</v>
      </c>
      <c r="AD78">
        <v>91</v>
      </c>
    </row>
    <row r="79" spans="2:74" x14ac:dyDescent="0.2">
      <c r="X79">
        <v>21</v>
      </c>
      <c r="Y79">
        <v>21</v>
      </c>
      <c r="Z79">
        <v>24</v>
      </c>
      <c r="AA79">
        <v>26</v>
      </c>
      <c r="AB79">
        <v>28</v>
      </c>
      <c r="AC79">
        <v>28</v>
      </c>
      <c r="AD79">
        <v>31</v>
      </c>
    </row>
    <row r="80" spans="2:74" x14ac:dyDescent="0.2">
      <c r="X80">
        <v>28</v>
      </c>
      <c r="Y80">
        <v>25</v>
      </c>
      <c r="Z80">
        <v>25</v>
      </c>
      <c r="AA80">
        <v>25</v>
      </c>
      <c r="AB80">
        <v>27</v>
      </c>
      <c r="AC80">
        <v>25</v>
      </c>
      <c r="AD80">
        <v>25</v>
      </c>
    </row>
    <row r="82" spans="3:37" x14ac:dyDescent="0.2">
      <c r="X82">
        <f t="shared" ref="X82:AD82" si="9">+X78+X79+X80</f>
        <v>121</v>
      </c>
      <c r="Y82">
        <f t="shared" si="9"/>
        <v>115</v>
      </c>
      <c r="Z82">
        <f t="shared" si="9"/>
        <v>115</v>
      </c>
      <c r="AA82">
        <f t="shared" si="9"/>
        <v>117</v>
      </c>
      <c r="AB82">
        <f t="shared" si="9"/>
        <v>112</v>
      </c>
      <c r="AC82">
        <f t="shared" si="9"/>
        <v>140</v>
      </c>
      <c r="AD82">
        <f t="shared" si="9"/>
        <v>147</v>
      </c>
    </row>
    <row r="85" spans="3:37" x14ac:dyDescent="0.2">
      <c r="C85" s="16" t="s">
        <v>48</v>
      </c>
    </row>
    <row r="86" spans="3:37" x14ac:dyDescent="0.2">
      <c r="C86" s="29" t="s">
        <v>49</v>
      </c>
      <c r="U86" s="35">
        <v>22.264516</v>
      </c>
      <c r="V86" s="35">
        <v>20.890875999999999</v>
      </c>
      <c r="W86" s="35">
        <v>30.736514</v>
      </c>
      <c r="X86" s="35">
        <v>32.146695000000001</v>
      </c>
      <c r="Y86" s="35">
        <v>58.698279999999997</v>
      </c>
      <c r="Z86" s="35">
        <v>45.934528999999998</v>
      </c>
      <c r="AA86" s="35">
        <v>42.539406999999997</v>
      </c>
      <c r="AB86" s="35">
        <v>75.492098999999996</v>
      </c>
      <c r="AC86" s="35">
        <v>103.817841</v>
      </c>
      <c r="AD86" s="6">
        <v>100.594174</v>
      </c>
      <c r="AE86" s="35"/>
      <c r="AF86" s="35"/>
      <c r="AG86" s="35"/>
      <c r="AK86" s="33"/>
    </row>
    <row r="87" spans="3:37" x14ac:dyDescent="0.2">
      <c r="C87" s="29" t="s">
        <v>50</v>
      </c>
      <c r="U87" s="35">
        <v>9.8000290000000003</v>
      </c>
      <c r="V87" s="35">
        <v>9.9968690000000002</v>
      </c>
      <c r="W87" s="35">
        <v>10.786045</v>
      </c>
      <c r="X87" s="35">
        <v>12.067042000000001</v>
      </c>
      <c r="Y87" s="35">
        <v>12.422836</v>
      </c>
      <c r="Z87" s="35">
        <v>13.570627999999999</v>
      </c>
      <c r="AA87" s="35">
        <v>11.730959</v>
      </c>
      <c r="AB87" s="35">
        <v>19.103974000000001</v>
      </c>
      <c r="AC87" s="35">
        <v>25.030587000000001</v>
      </c>
      <c r="AD87" s="6">
        <v>26.754111000000002</v>
      </c>
      <c r="AE87" s="35"/>
      <c r="AF87" s="35"/>
      <c r="AG87" s="35"/>
    </row>
    <row r="88" spans="3:37" x14ac:dyDescent="0.2">
      <c r="C88" s="32" t="s">
        <v>51</v>
      </c>
      <c r="U88" s="35">
        <v>2.2369349999999999</v>
      </c>
      <c r="V88" s="35">
        <v>6.3788929999999997</v>
      </c>
      <c r="W88" s="35">
        <v>9.3045069999999992</v>
      </c>
      <c r="X88" s="35">
        <v>10.630763999999999</v>
      </c>
      <c r="Y88" s="35">
        <v>2.5668989999999998</v>
      </c>
      <c r="Z88" s="35">
        <v>14.745376</v>
      </c>
      <c r="AA88" s="35">
        <v>17.006995</v>
      </c>
      <c r="AB88" s="35">
        <v>19.401230000000002</v>
      </c>
      <c r="AC88" s="35">
        <v>17.730369</v>
      </c>
      <c r="AD88" s="6">
        <v>0</v>
      </c>
      <c r="AE88" s="35"/>
      <c r="AF88" s="35"/>
      <c r="AG88" s="35"/>
    </row>
    <row r="89" spans="3:37" s="41" customFormat="1" x14ac:dyDescent="0.2">
      <c r="C89" s="42" t="s">
        <v>61</v>
      </c>
      <c r="U89" s="43"/>
      <c r="V89" s="43"/>
      <c r="W89" s="43"/>
      <c r="X89" s="43"/>
      <c r="Y89" s="43"/>
      <c r="Z89" s="43"/>
      <c r="AA89" s="43">
        <v>16.58154</v>
      </c>
      <c r="AB89" s="43">
        <v>19.049833</v>
      </c>
      <c r="AC89" s="43">
        <v>17.303073999999999</v>
      </c>
      <c r="AD89" s="44"/>
      <c r="AE89" s="43"/>
      <c r="AF89" s="43"/>
      <c r="AG89" s="43"/>
    </row>
    <row r="90" spans="3:37" s="41" customFormat="1" x14ac:dyDescent="0.2">
      <c r="C90" s="42" t="s">
        <v>62</v>
      </c>
      <c r="U90" s="43"/>
      <c r="V90" s="43"/>
      <c r="W90" s="43"/>
      <c r="X90" s="43"/>
      <c r="Y90" s="43"/>
      <c r="Z90" s="43"/>
      <c r="AA90" s="43">
        <v>0.42545500000000003</v>
      </c>
      <c r="AB90" s="43">
        <v>0.35139700000000001</v>
      </c>
      <c r="AC90" s="43">
        <v>0.42729499999999998</v>
      </c>
      <c r="AD90" s="44"/>
      <c r="AE90" s="43"/>
      <c r="AF90" s="43"/>
      <c r="AG90" s="43"/>
    </row>
    <row r="91" spans="3:37" x14ac:dyDescent="0.2">
      <c r="C91" s="29" t="s">
        <v>52</v>
      </c>
      <c r="U91" s="35">
        <v>0.42364200000000002</v>
      </c>
      <c r="V91" s="35">
        <v>1.982553</v>
      </c>
      <c r="W91" s="35">
        <v>1.45</v>
      </c>
      <c r="X91" s="35">
        <v>7.9124949999999998</v>
      </c>
      <c r="Y91" s="35">
        <v>3.0926659999999999</v>
      </c>
      <c r="Z91" s="35">
        <v>2.2573599999999998</v>
      </c>
      <c r="AA91" s="35">
        <v>5.4975990000000001</v>
      </c>
      <c r="AB91" s="35">
        <v>8.0664949999999997</v>
      </c>
      <c r="AC91" s="35">
        <v>12.766143</v>
      </c>
      <c r="AD91" s="6">
        <v>0</v>
      </c>
      <c r="AE91" s="35"/>
      <c r="AF91" s="35"/>
      <c r="AG91" s="35"/>
    </row>
    <row r="92" spans="3:37" x14ac:dyDescent="0.2">
      <c r="C92" s="29" t="s">
        <v>53</v>
      </c>
      <c r="U92" s="35">
        <v>18.811070999999998</v>
      </c>
      <c r="V92" s="35">
        <v>21.42934</v>
      </c>
      <c r="W92" s="35">
        <v>36.785989000000001</v>
      </c>
      <c r="X92" s="35">
        <v>35.185993000000003</v>
      </c>
      <c r="Y92" s="35">
        <v>38.771712999999998</v>
      </c>
      <c r="Z92" s="35">
        <v>44.113357000000001</v>
      </c>
      <c r="AA92" s="35">
        <v>50.288947999999998</v>
      </c>
      <c r="AB92" s="35">
        <v>69.974911000000006</v>
      </c>
      <c r="AC92" s="35">
        <v>88.930149</v>
      </c>
      <c r="AD92" s="6">
        <v>103.978094</v>
      </c>
      <c r="AE92" s="35"/>
      <c r="AF92" s="35"/>
      <c r="AG92" s="35"/>
    </row>
    <row r="93" spans="3:37" x14ac:dyDescent="0.2">
      <c r="C93" s="29" t="s">
        <v>54</v>
      </c>
      <c r="U93" s="35">
        <v>0.82903099999999996</v>
      </c>
      <c r="V93" s="35">
        <v>0.54801100000000003</v>
      </c>
      <c r="W93" s="35">
        <v>0.64813699999999996</v>
      </c>
      <c r="X93" s="35">
        <v>0.69389800000000001</v>
      </c>
      <c r="Y93" s="35">
        <v>0.82708000000000004</v>
      </c>
      <c r="Z93" s="35">
        <v>0.667184</v>
      </c>
      <c r="AA93" s="35">
        <v>0.65199399999999996</v>
      </c>
      <c r="AB93" s="35">
        <v>1.664194</v>
      </c>
      <c r="AC93" s="35">
        <v>1.039253</v>
      </c>
      <c r="AD93" s="6">
        <v>0</v>
      </c>
      <c r="AE93" s="35"/>
      <c r="AF93" s="35"/>
      <c r="AG93" s="35"/>
    </row>
    <row r="94" spans="3:37" x14ac:dyDescent="0.2">
      <c r="C94" s="29" t="s">
        <v>55</v>
      </c>
      <c r="U94" s="35">
        <v>10.906617000000001</v>
      </c>
      <c r="V94" s="35">
        <v>10.810983</v>
      </c>
      <c r="W94" s="35">
        <v>12.746472000000001</v>
      </c>
      <c r="X94" s="35">
        <v>13.756727</v>
      </c>
      <c r="Y94" s="35">
        <v>13.583102999999999</v>
      </c>
      <c r="Z94" s="35">
        <v>15.446306</v>
      </c>
      <c r="AA94" s="35">
        <v>13.889189999999999</v>
      </c>
      <c r="AB94" s="35">
        <v>24.441445999999999</v>
      </c>
      <c r="AC94" s="35">
        <v>19.727478000000001</v>
      </c>
      <c r="AD94" s="35">
        <v>33.030540999999999</v>
      </c>
      <c r="AE94" s="35"/>
      <c r="AF94" s="35"/>
      <c r="AG94" s="35"/>
    </row>
    <row r="95" spans="3:37" x14ac:dyDescent="0.2">
      <c r="C95" s="29" t="s">
        <v>56</v>
      </c>
      <c r="U95" s="35">
        <v>2.1671149999999999</v>
      </c>
      <c r="V95" s="35">
        <v>0.74795699999999998</v>
      </c>
      <c r="W95" s="35">
        <v>0.71980100000000002</v>
      </c>
      <c r="X95" s="35">
        <v>0.41479700000000003</v>
      </c>
      <c r="Y95" s="35">
        <v>10.087603</v>
      </c>
      <c r="Z95" s="35">
        <v>1.346455</v>
      </c>
      <c r="AA95" s="35">
        <v>6.2147790000000001</v>
      </c>
      <c r="AB95" s="35">
        <v>1.4097</v>
      </c>
      <c r="AC95" s="35">
        <v>6.0839869999999996</v>
      </c>
      <c r="AD95" s="6">
        <v>0</v>
      </c>
      <c r="AE95" s="35"/>
      <c r="AF95" s="35"/>
      <c r="AG95" s="35"/>
    </row>
    <row r="96" spans="3:37" x14ac:dyDescent="0.2">
      <c r="C96" s="29" t="s">
        <v>16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35">
        <v>38.368062999999999</v>
      </c>
      <c r="AE96" s="6"/>
      <c r="AF96" s="6"/>
      <c r="AG96" s="6"/>
    </row>
    <row r="97" spans="3:33" x14ac:dyDescent="0.2">
      <c r="C97" s="16" t="s">
        <v>57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36">
        <f>SUM(U86:U88,U91:U96)</f>
        <v>67.438956000000005</v>
      </c>
      <c r="V97" s="36">
        <f t="shared" ref="V97:AC97" si="10">SUM(V86:V88,V91:V96)</f>
        <v>72.785482000000016</v>
      </c>
      <c r="W97" s="36">
        <f t="shared" si="10"/>
        <v>103.17746500000001</v>
      </c>
      <c r="X97" s="36">
        <f t="shared" si="10"/>
        <v>112.80841100000001</v>
      </c>
      <c r="Y97" s="36">
        <f t="shared" si="10"/>
        <v>140.05017999999998</v>
      </c>
      <c r="Z97" s="36">
        <f t="shared" si="10"/>
        <v>138.08119500000001</v>
      </c>
      <c r="AA97" s="36">
        <f t="shared" si="10"/>
        <v>147.81987100000001</v>
      </c>
      <c r="AB97" s="36">
        <f t="shared" si="10"/>
        <v>219.55404899999996</v>
      </c>
      <c r="AC97" s="36">
        <f t="shared" si="10"/>
        <v>275.12580700000001</v>
      </c>
      <c r="AD97" s="36">
        <f>SUM(AD86:AD88,AD91:AD96)</f>
        <v>302.72498300000001</v>
      </c>
      <c r="AE97" s="36"/>
      <c r="AF97" s="36"/>
      <c r="AG97" s="36"/>
    </row>
    <row r="98" spans="3:33" x14ac:dyDescent="0.2">
      <c r="AA98" s="6">
        <f>AA23-AA94-AA88-AA92</f>
        <v>-10.792216000000003</v>
      </c>
    </row>
    <row r="100" spans="3:33" x14ac:dyDescent="0.2">
      <c r="U100" s="34">
        <f>SUM(U94,U92,U95)</f>
        <v>31.884802999999998</v>
      </c>
      <c r="V100" s="34">
        <f>SUM(V94,V92,V95)</f>
        <v>32.988280000000003</v>
      </c>
      <c r="W100" s="34">
        <f>SUM(W94,W92,W95)</f>
        <v>50.252261999999995</v>
      </c>
      <c r="X100" s="34">
        <f t="shared" ref="X100:AC100" si="11">SUM(X94,X92,X95)</f>
        <v>49.357517000000001</v>
      </c>
      <c r="Y100" s="34">
        <f t="shared" si="11"/>
        <v>62.442419000000001</v>
      </c>
      <c r="Z100" s="34">
        <f t="shared" si="11"/>
        <v>60.906117999999999</v>
      </c>
      <c r="AA100" s="34">
        <f t="shared" si="11"/>
        <v>70.392916999999983</v>
      </c>
      <c r="AB100" s="34">
        <f t="shared" si="11"/>
        <v>95.826057000000006</v>
      </c>
      <c r="AC100" s="34">
        <f t="shared" si="11"/>
        <v>114.741614</v>
      </c>
      <c r="AD100" s="34">
        <f>SUM(AD94,AD92,AD95)</f>
        <v>137.008635</v>
      </c>
      <c r="AE100" s="34"/>
      <c r="AF100" s="34"/>
      <c r="AG100" s="34"/>
    </row>
    <row r="102" spans="3:33" x14ac:dyDescent="0.2">
      <c r="Y102" s="34">
        <f>Y100-Y95+Y88</f>
        <v>54.921714999999999</v>
      </c>
    </row>
  </sheetData>
  <mergeCells count="3">
    <mergeCell ref="B74:AH74"/>
    <mergeCell ref="Y4:AH4"/>
    <mergeCell ref="C8:AH8"/>
  </mergeCells>
  <phoneticPr fontId="6" type="noConversion"/>
  <printOptions horizontalCentered="1"/>
  <pageMargins left="1" right="1" top="1" bottom="1" header="0.5" footer="0.5"/>
  <pageSetup scale="6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27649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38100</xdr:rowOff>
              </from>
              <to>
                <xdr:col>1</xdr:col>
                <xdr:colOff>133350</xdr:colOff>
                <xdr:row>0</xdr:row>
                <xdr:rowOff>133350</xdr:rowOff>
              </to>
            </anchor>
          </objectPr>
        </oleObject>
      </mc:Choice>
      <mc:Fallback>
        <oleObject progId="MSPhotoEd.3" shapeId="27649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/>
  <dimension ref="B3:AN65"/>
  <sheetViews>
    <sheetView zoomScaleNormal="100" zoomScaleSheetLayoutView="100" workbookViewId="0">
      <selection activeCell="N14" sqref="N14"/>
    </sheetView>
  </sheetViews>
  <sheetFormatPr defaultRowHeight="12.75" x14ac:dyDescent="0.2"/>
  <cols>
    <col min="1" max="1" width="4.42578125" style="17" customWidth="1"/>
    <col min="2" max="2" width="7" style="17" bestFit="1" customWidth="1"/>
    <col min="3" max="3" width="55.7109375" style="17" customWidth="1"/>
    <col min="4" max="6" width="9.140625" style="17"/>
    <col min="7" max="8" width="9.140625" style="127"/>
    <col min="9" max="9" width="11" style="127" customWidth="1"/>
    <col min="10" max="11" width="9.140625" style="127"/>
    <col min="12" max="40" width="9.140625" style="129"/>
    <col min="41" max="16384" width="9.140625" style="17"/>
  </cols>
  <sheetData>
    <row r="3" spans="2:12" x14ac:dyDescent="0.2">
      <c r="H3" s="140" t="s">
        <v>253</v>
      </c>
    </row>
    <row r="5" spans="2:12" x14ac:dyDescent="0.2">
      <c r="G5" s="17"/>
    </row>
    <row r="6" spans="2:12" x14ac:dyDescent="0.2">
      <c r="G6" s="140"/>
    </row>
    <row r="7" spans="2:12" x14ac:dyDescent="0.2">
      <c r="G7" s="140"/>
    </row>
    <row r="8" spans="2:12" x14ac:dyDescent="0.2">
      <c r="G8" s="140"/>
    </row>
    <row r="10" spans="2:12" ht="15.75" x14ac:dyDescent="0.25">
      <c r="B10" s="144">
        <v>12.11</v>
      </c>
      <c r="C10" s="311" t="s">
        <v>264</v>
      </c>
      <c r="D10" s="311"/>
      <c r="E10" s="311"/>
      <c r="F10" s="311"/>
      <c r="G10" s="311"/>
      <c r="H10" s="311"/>
      <c r="I10" s="311"/>
      <c r="J10" s="311"/>
      <c r="K10" s="311"/>
    </row>
    <row r="11" spans="2:12" ht="12.75" customHeight="1" x14ac:dyDescent="0.25">
      <c r="B11" s="151"/>
      <c r="C11" s="157"/>
    </row>
    <row r="12" spans="2:12" ht="12.75" customHeight="1" x14ac:dyDescent="0.25">
      <c r="B12" s="151"/>
      <c r="C12" s="157"/>
    </row>
    <row r="13" spans="2:12" ht="15.75" x14ac:dyDescent="0.25">
      <c r="B13" s="151"/>
      <c r="C13" s="164"/>
      <c r="D13" s="300">
        <v>2015</v>
      </c>
      <c r="E13" s="300">
        <v>2016</v>
      </c>
      <c r="F13" s="300">
        <v>2017</v>
      </c>
      <c r="G13" s="300">
        <v>2018</v>
      </c>
      <c r="H13" s="300">
        <v>2019</v>
      </c>
      <c r="I13" s="300">
        <v>2020</v>
      </c>
      <c r="J13" s="300">
        <v>2021</v>
      </c>
      <c r="K13" s="300">
        <v>2022</v>
      </c>
      <c r="L13" s="300">
        <v>2023</v>
      </c>
    </row>
    <row r="14" spans="2:12" ht="15.75" x14ac:dyDescent="0.25">
      <c r="B14" s="151"/>
      <c r="C14" s="198"/>
      <c r="D14" s="301"/>
      <c r="E14" s="301"/>
      <c r="F14" s="301"/>
      <c r="G14" s="301"/>
      <c r="H14" s="301"/>
      <c r="I14" s="301"/>
      <c r="J14" s="301"/>
      <c r="K14" s="301"/>
      <c r="L14" s="301"/>
    </row>
    <row r="15" spans="2:12" x14ac:dyDescent="0.2">
      <c r="C15" s="140" t="s">
        <v>84</v>
      </c>
      <c r="G15" s="17"/>
      <c r="H15" s="17"/>
      <c r="I15" s="17"/>
      <c r="J15" s="17"/>
      <c r="K15" s="17"/>
      <c r="L15" s="17"/>
    </row>
    <row r="16" spans="2:12" x14ac:dyDescent="0.2">
      <c r="C16" s="129" t="s">
        <v>159</v>
      </c>
      <c r="D16" s="163">
        <v>380</v>
      </c>
      <c r="E16" s="163">
        <v>363</v>
      </c>
      <c r="F16" s="163">
        <v>331</v>
      </c>
      <c r="G16" s="163">
        <v>317</v>
      </c>
      <c r="H16" s="163">
        <v>295</v>
      </c>
      <c r="I16" s="163">
        <v>294</v>
      </c>
      <c r="J16" s="163">
        <v>295</v>
      </c>
      <c r="K16" s="163">
        <v>290</v>
      </c>
      <c r="L16" s="163">
        <v>269</v>
      </c>
    </row>
    <row r="17" spans="3:12" x14ac:dyDescent="0.2">
      <c r="C17" s="129" t="s">
        <v>160</v>
      </c>
      <c r="D17" s="163">
        <v>101</v>
      </c>
      <c r="E17" s="163">
        <v>90</v>
      </c>
      <c r="F17" s="163">
        <v>81</v>
      </c>
      <c r="G17" s="163">
        <v>75</v>
      </c>
      <c r="H17" s="163">
        <v>64</v>
      </c>
      <c r="I17" s="163">
        <v>59</v>
      </c>
      <c r="J17" s="163">
        <v>55</v>
      </c>
      <c r="K17" s="163">
        <v>51</v>
      </c>
      <c r="L17" s="163">
        <v>50</v>
      </c>
    </row>
    <row r="18" spans="3:12" x14ac:dyDescent="0.2">
      <c r="C18" s="129" t="s">
        <v>161</v>
      </c>
      <c r="D18" s="163">
        <v>7654</v>
      </c>
      <c r="E18" s="163">
        <v>7293</v>
      </c>
      <c r="F18" s="163">
        <v>7331</v>
      </c>
      <c r="G18" s="163">
        <v>7654</v>
      </c>
      <c r="H18" s="163">
        <v>7612</v>
      </c>
      <c r="I18" s="163">
        <v>7972</v>
      </c>
      <c r="J18" s="163">
        <v>8499</v>
      </c>
      <c r="K18" s="163">
        <v>8795</v>
      </c>
      <c r="L18" s="163">
        <v>8681</v>
      </c>
    </row>
    <row r="19" spans="3:12" x14ac:dyDescent="0.2">
      <c r="C19" s="129" t="s">
        <v>162</v>
      </c>
      <c r="D19" s="163">
        <v>2805</v>
      </c>
      <c r="E19" s="163">
        <v>2840</v>
      </c>
      <c r="F19" s="163">
        <v>2816</v>
      </c>
      <c r="G19" s="163">
        <v>2946</v>
      </c>
      <c r="H19" s="163">
        <v>2886</v>
      </c>
      <c r="I19" s="163">
        <v>2988</v>
      </c>
      <c r="J19" s="163">
        <v>3198</v>
      </c>
      <c r="K19" s="163">
        <v>3224</v>
      </c>
      <c r="L19" s="163">
        <v>3175</v>
      </c>
    </row>
    <row r="20" spans="3:12" x14ac:dyDescent="0.2">
      <c r="C20" s="129" t="s">
        <v>243</v>
      </c>
      <c r="D20" s="163"/>
      <c r="E20" s="163"/>
      <c r="F20" s="163"/>
      <c r="G20" s="163"/>
      <c r="H20" s="163"/>
      <c r="I20" s="163">
        <v>583</v>
      </c>
      <c r="J20" s="163">
        <v>672</v>
      </c>
      <c r="K20" s="163">
        <v>635</v>
      </c>
      <c r="L20" s="163">
        <v>627</v>
      </c>
    </row>
    <row r="21" spans="3:12" x14ac:dyDescent="0.2">
      <c r="C21" s="140" t="s">
        <v>22</v>
      </c>
      <c r="D21" s="166">
        <f t="shared" ref="D21:K21" si="0">SUM(D16:D20)</f>
        <v>10940</v>
      </c>
      <c r="E21" s="166">
        <f t="shared" si="0"/>
        <v>10586</v>
      </c>
      <c r="F21" s="166">
        <f t="shared" si="0"/>
        <v>10559</v>
      </c>
      <c r="G21" s="166">
        <f t="shared" si="0"/>
        <v>10992</v>
      </c>
      <c r="H21" s="166">
        <f t="shared" si="0"/>
        <v>10857</v>
      </c>
      <c r="I21" s="166">
        <f t="shared" si="0"/>
        <v>11896</v>
      </c>
      <c r="J21" s="166">
        <f>SUM(J16:J20)</f>
        <v>12719</v>
      </c>
      <c r="K21" s="166">
        <f t="shared" si="0"/>
        <v>12995</v>
      </c>
      <c r="L21" s="166">
        <f t="shared" ref="L21" si="1">SUM(L16:L20)</f>
        <v>12802</v>
      </c>
    </row>
    <row r="22" spans="3:12" x14ac:dyDescent="0.2">
      <c r="G22" s="17"/>
      <c r="H22" s="17"/>
      <c r="I22" s="17"/>
      <c r="J22" s="17"/>
      <c r="K22" s="17"/>
      <c r="L22" s="17"/>
    </row>
    <row r="23" spans="3:12" x14ac:dyDescent="0.2">
      <c r="C23" s="140" t="s">
        <v>40</v>
      </c>
      <c r="G23" s="17"/>
      <c r="H23" s="17"/>
      <c r="I23" s="17"/>
      <c r="J23" s="17"/>
      <c r="K23" s="17"/>
      <c r="L23" s="17"/>
    </row>
    <row r="24" spans="3:12" x14ac:dyDescent="0.2">
      <c r="C24" s="129" t="s">
        <v>164</v>
      </c>
      <c r="D24" s="163">
        <v>2</v>
      </c>
      <c r="E24" s="163">
        <v>1</v>
      </c>
      <c r="F24" s="163">
        <v>1</v>
      </c>
      <c r="G24" s="163">
        <v>1</v>
      </c>
      <c r="H24" s="163">
        <v>1</v>
      </c>
      <c r="I24" s="163">
        <v>1</v>
      </c>
      <c r="J24" s="163">
        <v>0</v>
      </c>
      <c r="K24" s="163">
        <v>0</v>
      </c>
      <c r="L24" s="163">
        <v>0</v>
      </c>
    </row>
    <row r="25" spans="3:12" x14ac:dyDescent="0.2">
      <c r="C25" s="129" t="s">
        <v>165</v>
      </c>
      <c r="D25" s="163">
        <v>82</v>
      </c>
      <c r="E25" s="163">
        <v>84</v>
      </c>
      <c r="F25" s="163">
        <v>78</v>
      </c>
      <c r="G25" s="163">
        <v>75</v>
      </c>
      <c r="H25" s="163">
        <v>70</v>
      </c>
      <c r="I25" s="163">
        <v>66</v>
      </c>
      <c r="J25" s="163">
        <v>66</v>
      </c>
      <c r="K25" s="163">
        <v>68</v>
      </c>
      <c r="L25" s="163">
        <v>68</v>
      </c>
    </row>
    <row r="26" spans="3:12" x14ac:dyDescent="0.2">
      <c r="C26" s="129" t="s">
        <v>166</v>
      </c>
      <c r="D26" s="163">
        <v>24</v>
      </c>
      <c r="E26" s="163">
        <v>21</v>
      </c>
      <c r="F26" s="163">
        <v>18</v>
      </c>
      <c r="G26" s="163">
        <v>12</v>
      </c>
      <c r="H26" s="163">
        <v>10</v>
      </c>
      <c r="I26" s="163">
        <v>9</v>
      </c>
      <c r="J26" s="163">
        <v>9</v>
      </c>
      <c r="K26" s="163">
        <v>6</v>
      </c>
      <c r="L26" s="163">
        <v>6</v>
      </c>
    </row>
    <row r="27" spans="3:12" x14ac:dyDescent="0.2">
      <c r="C27" s="140" t="s">
        <v>163</v>
      </c>
      <c r="D27" s="166">
        <f t="shared" ref="D27:L27" si="2">SUM(D24:D26)</f>
        <v>108</v>
      </c>
      <c r="E27" s="166">
        <f t="shared" si="2"/>
        <v>106</v>
      </c>
      <c r="F27" s="166">
        <f t="shared" si="2"/>
        <v>97</v>
      </c>
      <c r="G27" s="166">
        <f t="shared" si="2"/>
        <v>88</v>
      </c>
      <c r="H27" s="166">
        <f t="shared" si="2"/>
        <v>81</v>
      </c>
      <c r="I27" s="166">
        <f t="shared" si="2"/>
        <v>76</v>
      </c>
      <c r="J27" s="166">
        <f>SUM(J24:J26)</f>
        <v>75</v>
      </c>
      <c r="K27" s="166">
        <f t="shared" si="2"/>
        <v>74</v>
      </c>
      <c r="L27" s="166">
        <f t="shared" si="2"/>
        <v>74</v>
      </c>
    </row>
    <row r="28" spans="3:12" x14ac:dyDescent="0.2">
      <c r="C28" s="132"/>
      <c r="D28" s="132"/>
      <c r="E28" s="132"/>
      <c r="F28" s="132"/>
      <c r="G28" s="132"/>
      <c r="H28" s="132"/>
      <c r="I28" s="132"/>
      <c r="J28" s="199"/>
      <c r="K28" s="132"/>
      <c r="L28" s="132"/>
    </row>
    <row r="29" spans="3:12" s="129" customFormat="1" x14ac:dyDescent="0.2">
      <c r="C29" s="122"/>
      <c r="I29" s="200"/>
    </row>
    <row r="30" spans="3:12" s="129" customFormat="1" x14ac:dyDescent="0.2">
      <c r="C30" s="140" t="s">
        <v>69</v>
      </c>
      <c r="I30" s="200"/>
    </row>
    <row r="31" spans="3:12" s="129" customFormat="1" ht="12.75" customHeight="1" x14ac:dyDescent="0.2">
      <c r="C31" s="350" t="s">
        <v>174</v>
      </c>
      <c r="I31" s="200"/>
    </row>
    <row r="32" spans="3:12" s="129" customFormat="1" x14ac:dyDescent="0.2">
      <c r="C32" s="350"/>
      <c r="I32" s="200"/>
    </row>
    <row r="33" spans="3:9" s="129" customFormat="1" x14ac:dyDescent="0.2">
      <c r="I33" s="200"/>
    </row>
    <row r="34" spans="3:9" s="129" customFormat="1" x14ac:dyDescent="0.2">
      <c r="C34" s="226" t="s">
        <v>244</v>
      </c>
      <c r="I34" s="200"/>
    </row>
    <row r="35" spans="3:9" s="129" customFormat="1" x14ac:dyDescent="0.2">
      <c r="C35" s="202"/>
      <c r="I35" s="200"/>
    </row>
    <row r="36" spans="3:9" s="129" customFormat="1" x14ac:dyDescent="0.2">
      <c r="C36" s="202"/>
      <c r="I36" s="200"/>
    </row>
    <row r="37" spans="3:9" s="129" customFormat="1" x14ac:dyDescent="0.2">
      <c r="I37" s="200"/>
    </row>
    <row r="38" spans="3:9" s="129" customFormat="1" x14ac:dyDescent="0.2">
      <c r="I38" s="206"/>
    </row>
    <row r="39" spans="3:9" s="129" customFormat="1" x14ac:dyDescent="0.2">
      <c r="I39" s="206"/>
    </row>
    <row r="40" spans="3:9" s="129" customFormat="1" x14ac:dyDescent="0.2">
      <c r="I40" s="163"/>
    </row>
    <row r="41" spans="3:9" s="129" customFormat="1" x14ac:dyDescent="0.2">
      <c r="I41" s="163"/>
    </row>
    <row r="42" spans="3:9" s="129" customFormat="1" x14ac:dyDescent="0.2">
      <c r="I42" s="163"/>
    </row>
    <row r="43" spans="3:9" s="129" customFormat="1" x14ac:dyDescent="0.2">
      <c r="I43" s="163"/>
    </row>
    <row r="44" spans="3:9" s="129" customFormat="1" x14ac:dyDescent="0.2">
      <c r="I44" s="163"/>
    </row>
    <row r="45" spans="3:9" s="129" customFormat="1" x14ac:dyDescent="0.2">
      <c r="I45" s="163"/>
    </row>
    <row r="46" spans="3:9" s="129" customFormat="1" x14ac:dyDescent="0.2"/>
    <row r="47" spans="3:9" s="129" customFormat="1" x14ac:dyDescent="0.2"/>
    <row r="48" spans="3:9" s="129" customFormat="1" x14ac:dyDescent="0.2"/>
    <row r="49" spans="2:3" s="129" customFormat="1" x14ac:dyDescent="0.2"/>
    <row r="50" spans="2:3" s="129" customFormat="1" x14ac:dyDescent="0.2">
      <c r="C50" s="133" t="s">
        <v>100</v>
      </c>
    </row>
    <row r="51" spans="2:3" s="129" customFormat="1" x14ac:dyDescent="0.2"/>
    <row r="52" spans="2:3" s="129" customFormat="1" x14ac:dyDescent="0.2"/>
    <row r="53" spans="2:3" s="129" customFormat="1" x14ac:dyDescent="0.2"/>
    <row r="54" spans="2:3" s="129" customFormat="1" x14ac:dyDescent="0.2"/>
    <row r="55" spans="2:3" s="129" customFormat="1" x14ac:dyDescent="0.2"/>
    <row r="56" spans="2:3" s="129" customFormat="1" x14ac:dyDescent="0.2"/>
    <row r="57" spans="2:3" s="129" customFormat="1" x14ac:dyDescent="0.2"/>
    <row r="58" spans="2:3" s="129" customFormat="1" x14ac:dyDescent="0.2"/>
    <row r="59" spans="2:3" s="129" customFormat="1" x14ac:dyDescent="0.2"/>
    <row r="60" spans="2:3" s="129" customFormat="1" x14ac:dyDescent="0.2"/>
    <row r="61" spans="2:3" s="129" customFormat="1" x14ac:dyDescent="0.2">
      <c r="C61" s="133"/>
    </row>
    <row r="62" spans="2:3" s="129" customFormat="1" x14ac:dyDescent="0.2">
      <c r="B62" s="218"/>
      <c r="C62" s="218"/>
    </row>
    <row r="63" spans="2:3" s="129" customFormat="1" ht="10.5" customHeight="1" x14ac:dyDescent="0.2"/>
    <row r="64" spans="2:3" s="129" customFormat="1" x14ac:dyDescent="0.2">
      <c r="B64" s="133"/>
      <c r="C64" s="133"/>
    </row>
    <row r="65" s="129" customFormat="1" x14ac:dyDescent="0.2"/>
  </sheetData>
  <mergeCells count="2">
    <mergeCell ref="C31:C32"/>
    <mergeCell ref="C10:K10"/>
  </mergeCells>
  <phoneticPr fontId="6" type="noConversion"/>
  <pageMargins left="0.48" right="0.75" top="1" bottom="1" header="0.5" footer="0.5"/>
  <pageSetup scale="66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28674" r:id="rId4">
          <objectPr defaultSize="0" autoPict="0" r:id="rId5">
            <anchor moveWithCells="1" sizeWithCells="1">
              <from>
                <xdr:col>1</xdr:col>
                <xdr:colOff>9525</xdr:colOff>
                <xdr:row>0</xdr:row>
                <xdr:rowOff>0</xdr:rowOff>
              </from>
              <to>
                <xdr:col>2</xdr:col>
                <xdr:colOff>600075</xdr:colOff>
                <xdr:row>3</xdr:row>
                <xdr:rowOff>28575</xdr:rowOff>
              </to>
            </anchor>
          </objectPr>
        </oleObject>
      </mc:Choice>
      <mc:Fallback>
        <oleObject progId="MSPhotoEd.3" shapeId="28674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C2:V57"/>
  <sheetViews>
    <sheetView tabSelected="1" zoomScaleNormal="100" zoomScaleSheetLayoutView="100" workbookViewId="0">
      <selection activeCell="O40" sqref="O40"/>
    </sheetView>
  </sheetViews>
  <sheetFormatPr defaultColWidth="9.140625" defaultRowHeight="12.75" x14ac:dyDescent="0.2"/>
  <cols>
    <col min="1" max="1" width="1.7109375" style="17" customWidth="1"/>
    <col min="2" max="2" width="3.42578125" style="17" customWidth="1"/>
    <col min="3" max="3" width="8.5703125" style="17" customWidth="1"/>
    <col min="4" max="4" width="38.42578125" style="17" customWidth="1"/>
    <col min="5" max="5" width="9.140625" style="17"/>
    <col min="6" max="6" width="13.7109375" style="17" customWidth="1"/>
    <col min="7" max="8" width="9.140625" style="127"/>
    <col min="9" max="9" width="11" style="127" customWidth="1"/>
    <col min="10" max="21" width="9.140625" style="127"/>
    <col min="22" max="16384" width="9.140625" style="17"/>
  </cols>
  <sheetData>
    <row r="2" spans="3:22" x14ac:dyDescent="0.2">
      <c r="J2" s="140" t="s">
        <v>253</v>
      </c>
    </row>
    <row r="5" spans="3:22" ht="15.75" x14ac:dyDescent="0.25"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</row>
    <row r="7" spans="3:22" ht="15.75" x14ac:dyDescent="0.25">
      <c r="C7" s="144">
        <v>12.12</v>
      </c>
      <c r="D7" s="311" t="s">
        <v>265</v>
      </c>
      <c r="E7" s="311"/>
      <c r="F7" s="311"/>
      <c r="G7" s="311"/>
      <c r="H7" s="311"/>
      <c r="I7" s="311"/>
      <c r="J7" s="311"/>
    </row>
    <row r="8" spans="3:22" ht="12.75" customHeight="1" x14ac:dyDescent="0.25">
      <c r="C8" s="151"/>
      <c r="D8" s="302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</row>
    <row r="9" spans="3:22" ht="12.75" customHeight="1" x14ac:dyDescent="0.25">
      <c r="C9" s="151"/>
      <c r="D9" s="302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</row>
    <row r="10" spans="3:22" ht="15.75" x14ac:dyDescent="0.25">
      <c r="C10" s="151"/>
      <c r="D10" s="303" t="s">
        <v>86</v>
      </c>
      <c r="E10" s="300">
        <v>2017</v>
      </c>
      <c r="F10" s="300">
        <v>2018</v>
      </c>
      <c r="G10" s="300">
        <v>2019</v>
      </c>
      <c r="H10" s="300">
        <v>2020</v>
      </c>
      <c r="I10" s="300">
        <v>2021</v>
      </c>
      <c r="J10" s="300">
        <v>2022</v>
      </c>
      <c r="K10" s="300">
        <v>2023</v>
      </c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</row>
    <row r="11" spans="3:22" ht="12.75" customHeight="1" x14ac:dyDescent="0.25">
      <c r="C11" s="151"/>
      <c r="D11" s="301" t="s">
        <v>22</v>
      </c>
      <c r="E11" s="304">
        <f t="shared" ref="E11:K11" si="0">SUM(E12:E18)</f>
        <v>1238</v>
      </c>
      <c r="F11" s="304">
        <f t="shared" si="0"/>
        <v>1699</v>
      </c>
      <c r="G11" s="304">
        <f t="shared" si="0"/>
        <v>2078</v>
      </c>
      <c r="H11" s="304">
        <f t="shared" si="0"/>
        <v>2336</v>
      </c>
      <c r="I11" s="304">
        <f>SUM(I12:I18)</f>
        <v>2681</v>
      </c>
      <c r="J11" s="304">
        <f t="shared" si="0"/>
        <v>2734</v>
      </c>
      <c r="K11" s="304">
        <f t="shared" si="0"/>
        <v>2772</v>
      </c>
      <c r="L11" s="135"/>
      <c r="M11" s="135"/>
      <c r="N11" s="135"/>
      <c r="O11" s="135"/>
      <c r="P11" s="135"/>
      <c r="Q11" s="135"/>
      <c r="R11" s="135"/>
      <c r="S11" s="135"/>
      <c r="T11" s="135"/>
      <c r="U11" s="135">
        <v>4932.3999999999996</v>
      </c>
      <c r="V11" s="135"/>
    </row>
    <row r="12" spans="3:22" ht="12.75" customHeight="1" x14ac:dyDescent="0.2">
      <c r="D12" s="129" t="s">
        <v>84</v>
      </c>
      <c r="E12" s="203">
        <v>216</v>
      </c>
      <c r="F12" s="203">
        <v>224</v>
      </c>
      <c r="G12" s="203">
        <v>194</v>
      </c>
      <c r="H12" s="203">
        <v>123</v>
      </c>
      <c r="I12" s="203">
        <v>110</v>
      </c>
      <c r="J12" s="203">
        <v>106</v>
      </c>
      <c r="K12" s="203">
        <v>117</v>
      </c>
      <c r="L12" s="135"/>
      <c r="M12" s="135"/>
      <c r="N12" s="135"/>
      <c r="O12" s="135"/>
      <c r="P12" s="135"/>
      <c r="Q12" s="135"/>
      <c r="R12" s="135"/>
      <c r="S12" s="135"/>
      <c r="T12" s="135"/>
      <c r="U12" s="135">
        <v>100.2</v>
      </c>
      <c r="V12" s="135"/>
    </row>
    <row r="13" spans="3:22" ht="12.75" customHeight="1" x14ac:dyDescent="0.2">
      <c r="D13" s="129" t="s">
        <v>241</v>
      </c>
      <c r="E13" s="203">
        <v>702</v>
      </c>
      <c r="F13" s="203">
        <v>1128</v>
      </c>
      <c r="G13" s="203">
        <v>1547</v>
      </c>
      <c r="H13" s="203">
        <v>1879</v>
      </c>
      <c r="I13" s="203">
        <v>2266</v>
      </c>
      <c r="J13" s="203">
        <v>2332</v>
      </c>
      <c r="K13" s="203">
        <v>2375</v>
      </c>
      <c r="L13" s="135"/>
      <c r="M13" s="135"/>
      <c r="N13" s="135"/>
      <c r="O13" s="135"/>
      <c r="P13" s="135"/>
      <c r="Q13" s="135"/>
      <c r="R13" s="135"/>
      <c r="S13" s="135"/>
      <c r="T13" s="135"/>
      <c r="U13" s="135">
        <v>2181.5</v>
      </c>
      <c r="V13" s="135"/>
    </row>
    <row r="14" spans="3:22" ht="12.75" customHeight="1" x14ac:dyDescent="0.2">
      <c r="D14" s="129" t="s">
        <v>176</v>
      </c>
      <c r="E14" s="203">
        <v>42</v>
      </c>
      <c r="F14" s="203">
        <v>47</v>
      </c>
      <c r="G14" s="203">
        <v>41</v>
      </c>
      <c r="H14" s="203">
        <v>37</v>
      </c>
      <c r="I14" s="203">
        <v>38</v>
      </c>
      <c r="J14" s="203">
        <v>41</v>
      </c>
      <c r="K14" s="203">
        <v>37</v>
      </c>
      <c r="L14" s="135"/>
      <c r="M14" s="135"/>
      <c r="N14" s="135"/>
      <c r="O14" s="135"/>
      <c r="P14" s="135"/>
      <c r="Q14" s="135"/>
      <c r="R14" s="135"/>
      <c r="S14" s="135"/>
      <c r="T14" s="135"/>
      <c r="U14" s="135">
        <v>2650.7</v>
      </c>
      <c r="V14" s="135"/>
    </row>
    <row r="15" spans="3:22" ht="12.75" customHeight="1" x14ac:dyDescent="0.2">
      <c r="D15" s="129" t="s">
        <v>242</v>
      </c>
      <c r="E15" s="203">
        <v>272</v>
      </c>
      <c r="F15" s="203">
        <v>293</v>
      </c>
      <c r="G15" s="203">
        <v>289</v>
      </c>
      <c r="H15" s="203">
        <v>291</v>
      </c>
      <c r="I15" s="203">
        <v>262</v>
      </c>
      <c r="J15" s="203">
        <v>250</v>
      </c>
      <c r="K15" s="203">
        <v>240</v>
      </c>
      <c r="L15" s="135"/>
      <c r="M15" s="135"/>
      <c r="N15" s="135"/>
      <c r="O15" s="135"/>
      <c r="P15" s="135"/>
      <c r="Q15" s="135"/>
      <c r="R15" s="135"/>
      <c r="S15" s="135"/>
      <c r="T15" s="135"/>
      <c r="U15" s="135">
        <v>2971.2</v>
      </c>
      <c r="V15" s="135"/>
    </row>
    <row r="16" spans="3:22" ht="12.75" customHeight="1" x14ac:dyDescent="0.2">
      <c r="D16" s="129" t="s">
        <v>221</v>
      </c>
      <c r="E16" s="203">
        <v>4</v>
      </c>
      <c r="F16" s="203">
        <v>4</v>
      </c>
      <c r="G16" s="203">
        <v>4</v>
      </c>
      <c r="H16" s="203">
        <v>4</v>
      </c>
      <c r="I16" s="203">
        <v>3</v>
      </c>
      <c r="J16" s="203">
        <v>3</v>
      </c>
      <c r="K16" s="203">
        <v>3</v>
      </c>
      <c r="L16" s="135"/>
      <c r="M16" s="135"/>
      <c r="N16" s="135"/>
      <c r="O16" s="135"/>
      <c r="P16" s="135"/>
      <c r="Q16" s="135"/>
      <c r="R16" s="135"/>
      <c r="S16" s="135"/>
      <c r="T16" s="135"/>
      <c r="U16" s="135">
        <v>243.6</v>
      </c>
      <c r="V16" s="135"/>
    </row>
    <row r="17" spans="4:22" ht="12.75" customHeight="1" x14ac:dyDescent="0.2">
      <c r="D17" s="129" t="s">
        <v>85</v>
      </c>
      <c r="E17" s="203">
        <v>1</v>
      </c>
      <c r="F17" s="203">
        <v>1</v>
      </c>
      <c r="G17" s="203">
        <v>1</v>
      </c>
      <c r="H17" s="203">
        <v>1</v>
      </c>
      <c r="I17" s="203">
        <v>1</v>
      </c>
      <c r="J17" s="203">
        <v>1</v>
      </c>
      <c r="K17" s="203">
        <v>0</v>
      </c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</row>
    <row r="18" spans="4:22" ht="12.75" customHeight="1" x14ac:dyDescent="0.2">
      <c r="D18" s="168" t="s">
        <v>220</v>
      </c>
      <c r="E18" s="305">
        <v>1</v>
      </c>
      <c r="F18" s="305">
        <v>2</v>
      </c>
      <c r="G18" s="305">
        <v>2</v>
      </c>
      <c r="H18" s="305">
        <v>1</v>
      </c>
      <c r="I18" s="305">
        <v>1</v>
      </c>
      <c r="J18" s="305">
        <v>1</v>
      </c>
      <c r="K18" s="305">
        <v>0</v>
      </c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</row>
    <row r="19" spans="4:22" ht="12.75" customHeight="1" x14ac:dyDescent="0.2">
      <c r="D19" s="122"/>
      <c r="E19" s="203"/>
      <c r="F19" s="203"/>
      <c r="G19" s="203"/>
      <c r="H19" s="203"/>
      <c r="I19" s="203"/>
      <c r="J19" s="136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</row>
    <row r="20" spans="4:22" ht="12.75" customHeight="1" x14ac:dyDescent="0.2">
      <c r="D20" s="204"/>
      <c r="G20" s="135"/>
      <c r="H20" s="135"/>
      <c r="I20" s="201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>
        <v>2657.5</v>
      </c>
      <c r="V20" s="135"/>
    </row>
    <row r="21" spans="4:22" x14ac:dyDescent="0.2">
      <c r="D21" s="204"/>
      <c r="G21" s="135"/>
      <c r="H21" s="135"/>
      <c r="I21" s="201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>
        <v>-320.5</v>
      </c>
      <c r="V21" s="135"/>
    </row>
    <row r="22" spans="4:22" x14ac:dyDescent="0.2">
      <c r="D22" s="129"/>
      <c r="G22" s="135"/>
      <c r="H22" s="135"/>
      <c r="I22" s="201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</row>
    <row r="23" spans="4:22" ht="15" customHeight="1" x14ac:dyDescent="0.2">
      <c r="D23" s="129"/>
      <c r="G23" s="135"/>
      <c r="H23" s="135"/>
      <c r="I23" s="201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>
        <v>4932.3999999999996</v>
      </c>
      <c r="V23" s="135"/>
    </row>
    <row r="24" spans="4:22" ht="15" customHeight="1" x14ac:dyDescent="0.2">
      <c r="G24" s="135"/>
      <c r="H24" s="135"/>
      <c r="I24" s="201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>
        <v>1209.0999999999999</v>
      </c>
      <c r="V24" s="135"/>
    </row>
    <row r="25" spans="4:22" ht="15" customHeight="1" x14ac:dyDescent="0.2">
      <c r="G25" s="135"/>
      <c r="H25" s="135"/>
      <c r="I25" s="201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>
        <v>95.5</v>
      </c>
      <c r="V25" s="135"/>
    </row>
    <row r="26" spans="4:22" ht="15" customHeight="1" x14ac:dyDescent="0.2">
      <c r="G26" s="135"/>
      <c r="H26" s="135"/>
      <c r="I26" s="201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>
        <v>1113.5999999999999</v>
      </c>
      <c r="V26" s="135"/>
    </row>
    <row r="27" spans="4:22" x14ac:dyDescent="0.2">
      <c r="G27" s="135"/>
      <c r="H27" s="135"/>
      <c r="I27" s="201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>
        <v>460.6</v>
      </c>
      <c r="V27" s="135"/>
    </row>
    <row r="28" spans="4:22" x14ac:dyDescent="0.2">
      <c r="G28" s="135"/>
      <c r="H28" s="135"/>
      <c r="I28" s="201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>
        <v>653</v>
      </c>
      <c r="V28" s="135"/>
    </row>
    <row r="29" spans="4:22" x14ac:dyDescent="0.2">
      <c r="G29" s="135"/>
      <c r="H29" s="135"/>
      <c r="I29" s="201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>
        <v>3723.3</v>
      </c>
      <c r="V29" s="135"/>
    </row>
    <row r="30" spans="4:22" x14ac:dyDescent="0.2">
      <c r="G30" s="135"/>
      <c r="H30" s="135"/>
      <c r="I30" s="201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>
        <v>3382</v>
      </c>
      <c r="V30" s="135"/>
    </row>
    <row r="31" spans="4:22" x14ac:dyDescent="0.2">
      <c r="G31" s="135"/>
      <c r="H31" s="135"/>
      <c r="I31" s="201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</row>
    <row r="32" spans="4:22" x14ac:dyDescent="0.2">
      <c r="G32" s="135"/>
      <c r="H32" s="135"/>
      <c r="I32" s="201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</row>
    <row r="33" spans="3:22" ht="16.5" x14ac:dyDescent="0.3">
      <c r="D33" s="205"/>
      <c r="G33" s="135"/>
      <c r="H33" s="135"/>
      <c r="I33" s="201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</row>
    <row r="34" spans="3:22" x14ac:dyDescent="0.2">
      <c r="G34" s="135"/>
      <c r="H34" s="135"/>
      <c r="I34" s="201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</row>
    <row r="35" spans="3:22" x14ac:dyDescent="0.2">
      <c r="G35" s="135"/>
      <c r="H35" s="135"/>
      <c r="I35" s="201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</row>
    <row r="36" spans="3:22" x14ac:dyDescent="0.2">
      <c r="G36" s="135"/>
      <c r="H36" s="129"/>
      <c r="I36" s="200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</row>
    <row r="37" spans="3:22" x14ac:dyDescent="0.2">
      <c r="D37" s="25"/>
      <c r="G37" s="135"/>
      <c r="H37" s="129"/>
      <c r="I37" s="206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</row>
    <row r="38" spans="3:22" x14ac:dyDescent="0.2">
      <c r="G38" s="136" t="s">
        <v>83</v>
      </c>
      <c r="H38" s="129"/>
      <c r="I38" s="138">
        <v>2005</v>
      </c>
      <c r="J38" s="138">
        <v>2006</v>
      </c>
      <c r="K38" s="138">
        <v>2007</v>
      </c>
      <c r="L38" s="138">
        <v>2008</v>
      </c>
      <c r="M38" s="138">
        <v>2009</v>
      </c>
      <c r="N38" s="138">
        <v>2010</v>
      </c>
      <c r="O38" s="138">
        <v>2011</v>
      </c>
      <c r="P38" s="138">
        <v>2012</v>
      </c>
      <c r="Q38" s="138">
        <v>2013</v>
      </c>
      <c r="R38" s="138">
        <v>2014</v>
      </c>
      <c r="S38" s="138">
        <v>2015</v>
      </c>
      <c r="T38" s="138">
        <v>2016</v>
      </c>
      <c r="U38" s="138">
        <v>2017</v>
      </c>
      <c r="V38" s="160">
        <v>2018</v>
      </c>
    </row>
    <row r="39" spans="3:22" x14ac:dyDescent="0.2">
      <c r="G39" s="135"/>
      <c r="H39" s="129"/>
      <c r="I39" s="138"/>
      <c r="J39" s="138"/>
      <c r="K39" s="138"/>
      <c r="L39" s="138"/>
      <c r="M39" s="135"/>
      <c r="N39" s="135"/>
      <c r="O39" s="135"/>
      <c r="P39" s="135"/>
      <c r="Q39" s="135"/>
      <c r="R39" s="135"/>
      <c r="S39" s="135"/>
      <c r="T39" s="135"/>
      <c r="U39" s="135"/>
      <c r="V39" s="135"/>
    </row>
    <row r="40" spans="3:22" x14ac:dyDescent="0.2">
      <c r="G40" s="135"/>
      <c r="H40" s="129"/>
      <c r="I40" s="207">
        <v>1015</v>
      </c>
      <c r="J40" s="207">
        <v>1225</v>
      </c>
      <c r="K40" s="207">
        <v>1748</v>
      </c>
      <c r="L40" s="219"/>
      <c r="M40" s="219"/>
      <c r="N40" s="219"/>
      <c r="O40" s="163"/>
      <c r="P40" s="163"/>
      <c r="Q40" s="139">
        <v>1116</v>
      </c>
      <c r="R40" s="139">
        <v>1066</v>
      </c>
      <c r="S40" s="139">
        <v>1048</v>
      </c>
      <c r="T40" s="139">
        <v>1022</v>
      </c>
      <c r="U40" s="139">
        <v>1238</v>
      </c>
      <c r="V40" s="139">
        <v>1699</v>
      </c>
    </row>
    <row r="41" spans="3:22" ht="15.75" x14ac:dyDescent="0.25">
      <c r="C41" s="208">
        <v>12.13</v>
      </c>
      <c r="D41" s="351" t="s">
        <v>266</v>
      </c>
      <c r="E41" s="351"/>
      <c r="F41" s="351"/>
      <c r="G41" s="351"/>
      <c r="H41" s="351"/>
      <c r="I41" s="351"/>
      <c r="J41" s="351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</row>
    <row r="42" spans="3:22" ht="15.75" x14ac:dyDescent="0.25">
      <c r="C42" s="208"/>
      <c r="D42" s="306"/>
      <c r="G42" s="135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</row>
    <row r="43" spans="3:22" ht="15.75" x14ac:dyDescent="0.25">
      <c r="C43" s="208"/>
      <c r="D43" s="307"/>
      <c r="K43" s="209" t="s">
        <v>167</v>
      </c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</row>
    <row r="44" spans="3:22" x14ac:dyDescent="0.2">
      <c r="D44" s="303" t="s">
        <v>86</v>
      </c>
      <c r="E44" s="300">
        <v>2017</v>
      </c>
      <c r="F44" s="300">
        <v>2018</v>
      </c>
      <c r="G44" s="300">
        <v>2019</v>
      </c>
      <c r="H44" s="300">
        <v>2020</v>
      </c>
      <c r="I44" s="300">
        <v>2021</v>
      </c>
      <c r="J44" s="300">
        <v>2022</v>
      </c>
      <c r="K44" s="300">
        <v>2023</v>
      </c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</row>
    <row r="45" spans="3:22" x14ac:dyDescent="0.2">
      <c r="D45" s="210" t="s">
        <v>22</v>
      </c>
      <c r="E45" s="308">
        <f t="shared" ref="E45:K45" si="1">SUM(E46:E52)</f>
        <v>241.41762604500002</v>
      </c>
      <c r="F45" s="308">
        <f t="shared" si="1"/>
        <v>310.203225476</v>
      </c>
      <c r="G45" s="308">
        <f t="shared" si="1"/>
        <v>426.99599389299993</v>
      </c>
      <c r="H45" s="308">
        <f t="shared" si="1"/>
        <v>458.845339518</v>
      </c>
      <c r="I45" s="308">
        <f>SUM(I46:I52)</f>
        <v>807.23509016399998</v>
      </c>
      <c r="J45" s="308">
        <f t="shared" si="1"/>
        <v>807.03005161999999</v>
      </c>
      <c r="K45" s="308">
        <f t="shared" si="1"/>
        <v>884.39662142100008</v>
      </c>
    </row>
    <row r="46" spans="3:22" x14ac:dyDescent="0.2">
      <c r="D46" s="129" t="s">
        <v>84</v>
      </c>
      <c r="E46" s="309">
        <v>10.983023249</v>
      </c>
      <c r="F46" s="309">
        <v>11.520621563000001</v>
      </c>
      <c r="G46" s="309">
        <v>11.427122652</v>
      </c>
      <c r="H46" s="309">
        <v>12.238190542</v>
      </c>
      <c r="I46" s="309">
        <v>14.830645267</v>
      </c>
      <c r="J46" s="309">
        <v>18.015437838</v>
      </c>
      <c r="K46" s="309">
        <v>19.872106308999999</v>
      </c>
    </row>
    <row r="47" spans="3:22" x14ac:dyDescent="0.2">
      <c r="D47" s="129" t="s">
        <v>241</v>
      </c>
      <c r="E47" s="309">
        <v>132.10184754900001</v>
      </c>
      <c r="F47" s="309">
        <v>190.43178439600001</v>
      </c>
      <c r="G47" s="309">
        <v>263.93965586100001</v>
      </c>
      <c r="H47" s="309">
        <v>292.81907061800001</v>
      </c>
      <c r="I47" s="309">
        <v>639.83182252400002</v>
      </c>
      <c r="J47" s="309">
        <v>634.52526530700004</v>
      </c>
      <c r="K47" s="309">
        <v>716.96321500500005</v>
      </c>
    </row>
    <row r="48" spans="3:22" x14ac:dyDescent="0.2">
      <c r="C48" s="25"/>
      <c r="D48" s="129" t="s">
        <v>176</v>
      </c>
      <c r="E48" s="309">
        <v>5.37</v>
      </c>
      <c r="F48" s="309">
        <v>6.07</v>
      </c>
      <c r="G48" s="309">
        <v>5.3713109799999996</v>
      </c>
      <c r="H48" s="309">
        <v>5.0429577529999996</v>
      </c>
      <c r="I48" s="309">
        <v>4.9123989530000003</v>
      </c>
      <c r="J48" s="309">
        <v>4.6890435369999999</v>
      </c>
      <c r="K48" s="309">
        <v>4.0781340999999998</v>
      </c>
    </row>
    <row r="49" spans="3:11" x14ac:dyDescent="0.2">
      <c r="C49" s="25"/>
      <c r="D49" s="129" t="s">
        <v>242</v>
      </c>
      <c r="E49" s="309">
        <v>92.284064858999997</v>
      </c>
      <c r="F49" s="309">
        <v>100.93118792200001</v>
      </c>
      <c r="G49" s="309">
        <v>145.03900704200001</v>
      </c>
      <c r="H49" s="309">
        <v>147.61283572799999</v>
      </c>
      <c r="I49" s="309">
        <v>146.60717799099999</v>
      </c>
      <c r="J49" s="309">
        <v>148.713988548</v>
      </c>
      <c r="K49" s="309">
        <v>142.99499017799999</v>
      </c>
    </row>
    <row r="50" spans="3:11" x14ac:dyDescent="0.2">
      <c r="D50" s="129" t="s">
        <v>221</v>
      </c>
      <c r="E50" s="309">
        <v>0.22532297400000001</v>
      </c>
      <c r="F50" s="309">
        <v>0.390220069</v>
      </c>
      <c r="G50" s="309">
        <v>0.308747559</v>
      </c>
      <c r="H50" s="309">
        <v>0.37309298200000002</v>
      </c>
      <c r="I50" s="309">
        <v>0.42438611300000001</v>
      </c>
      <c r="J50" s="309">
        <v>0.51925136000000005</v>
      </c>
      <c r="K50" s="309">
        <v>0.48817582900000001</v>
      </c>
    </row>
    <row r="51" spans="3:11" x14ac:dyDescent="0.2">
      <c r="D51" s="129" t="s">
        <v>85</v>
      </c>
      <c r="E51" s="309">
        <v>6.053091E-2</v>
      </c>
      <c r="F51" s="309">
        <v>4.763088E-2</v>
      </c>
      <c r="G51" s="309">
        <v>5.3584739999999999E-2</v>
      </c>
      <c r="H51" s="309">
        <v>0.29934685</v>
      </c>
      <c r="I51" s="309">
        <v>0.15149266</v>
      </c>
      <c r="J51" s="309">
        <v>0.14586957</v>
      </c>
      <c r="K51" s="309">
        <v>0</v>
      </c>
    </row>
    <row r="52" spans="3:11" x14ac:dyDescent="0.2">
      <c r="D52" s="168" t="s">
        <v>220</v>
      </c>
      <c r="E52" s="310">
        <v>0.39283650399999998</v>
      </c>
      <c r="F52" s="310">
        <v>0.81178064599999999</v>
      </c>
      <c r="G52" s="310">
        <v>0.85656505900000002</v>
      </c>
      <c r="H52" s="310">
        <v>0.45984504500000001</v>
      </c>
      <c r="I52" s="310">
        <v>0.47716665600000002</v>
      </c>
      <c r="J52" s="310">
        <v>0.42119546000000002</v>
      </c>
      <c r="K52" s="310">
        <v>0</v>
      </c>
    </row>
    <row r="53" spans="3:11" x14ac:dyDescent="0.2">
      <c r="G53" s="17"/>
    </row>
    <row r="54" spans="3:11" x14ac:dyDescent="0.2">
      <c r="D54" s="204" t="s">
        <v>102</v>
      </c>
    </row>
    <row r="56" spans="3:11" x14ac:dyDescent="0.2">
      <c r="C56" s="47"/>
      <c r="D56" s="47"/>
    </row>
    <row r="57" spans="3:11" x14ac:dyDescent="0.2">
      <c r="C57" s="222"/>
      <c r="D57" s="222"/>
    </row>
  </sheetData>
  <mergeCells count="2">
    <mergeCell ref="D7:J7"/>
    <mergeCell ref="D41:J41"/>
  </mergeCells>
  <phoneticPr fontId="6" type="noConversion"/>
  <pageMargins left="0.48" right="0.75" top="1" bottom="1" header="0.5" footer="0.5"/>
  <pageSetup scale="81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3481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</xdr:rowOff>
              </from>
              <to>
                <xdr:col>3</xdr:col>
                <xdr:colOff>228600</xdr:colOff>
                <xdr:row>3</xdr:row>
                <xdr:rowOff>57150</xdr:rowOff>
              </to>
            </anchor>
          </objectPr>
        </oleObject>
      </mc:Choice>
      <mc:Fallback>
        <oleObject progId="MSPhotoEd.3" shapeId="3481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C2:X57"/>
  <sheetViews>
    <sheetView zoomScaleNormal="100" zoomScaleSheetLayoutView="100" workbookViewId="0">
      <selection activeCell="S14" sqref="S14"/>
    </sheetView>
  </sheetViews>
  <sheetFormatPr defaultRowHeight="12.75" x14ac:dyDescent="0.2"/>
  <cols>
    <col min="1" max="2" width="2.5703125" style="17" customWidth="1"/>
    <col min="3" max="3" width="9.28515625" style="17" customWidth="1"/>
    <col min="4" max="4" width="24.85546875" style="17" customWidth="1"/>
    <col min="5" max="7" width="10.5703125" style="17" customWidth="1"/>
    <col min="8" max="8" width="10.85546875" style="17" customWidth="1"/>
    <col min="9" max="10" width="9.140625" style="17"/>
    <col min="11" max="11" width="10.42578125" style="17" customWidth="1"/>
    <col min="12" max="20" width="9.140625" style="17"/>
    <col min="21" max="21" width="0" style="17" hidden="1" customWidth="1"/>
    <col min="22" max="16384" width="9.140625" style="17"/>
  </cols>
  <sheetData>
    <row r="2" spans="3:21" x14ac:dyDescent="0.2">
      <c r="L2" s="213" t="s">
        <v>249</v>
      </c>
      <c r="M2" s="213"/>
      <c r="N2" s="213"/>
    </row>
    <row r="5" spans="3:21" ht="15" x14ac:dyDescent="0.25">
      <c r="E5" s="211"/>
      <c r="F5" s="211"/>
      <c r="G5" s="211"/>
      <c r="H5" s="211"/>
    </row>
    <row r="8" spans="3:21" ht="18.75" customHeight="1" x14ac:dyDescent="0.25">
      <c r="C8" s="144" t="s">
        <v>224</v>
      </c>
      <c r="D8" s="311" t="s">
        <v>267</v>
      </c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</row>
    <row r="10" spans="3:21" x14ac:dyDescent="0.2">
      <c r="G10" s="244"/>
      <c r="L10" s="244"/>
      <c r="P10" s="244" t="s">
        <v>153</v>
      </c>
    </row>
    <row r="11" spans="3:21" x14ac:dyDescent="0.2">
      <c r="D11" s="245"/>
      <c r="E11" s="228">
        <v>2012</v>
      </c>
      <c r="F11" s="228">
        <v>2013</v>
      </c>
      <c r="G11" s="228">
        <v>2014</v>
      </c>
      <c r="H11" s="228">
        <v>2015</v>
      </c>
      <c r="I11" s="228">
        <v>2016</v>
      </c>
      <c r="J11" s="228">
        <v>2017</v>
      </c>
      <c r="K11" s="228">
        <v>2018</v>
      </c>
      <c r="L11" s="228">
        <v>2019</v>
      </c>
      <c r="M11" s="228">
        <v>2020</v>
      </c>
      <c r="N11" s="228">
        <v>2021</v>
      </c>
      <c r="O11" s="228">
        <v>2022</v>
      </c>
      <c r="P11" s="228">
        <v>2023</v>
      </c>
    </row>
    <row r="13" spans="3:21" x14ac:dyDescent="0.2">
      <c r="D13" s="246" t="s">
        <v>21</v>
      </c>
      <c r="E13" s="247">
        <f t="shared" ref="E13:L13" si="0">AVERAGE(E15:E18)</f>
        <v>3.25</v>
      </c>
      <c r="F13" s="247">
        <f t="shared" si="0"/>
        <v>3.25</v>
      </c>
      <c r="G13" s="247">
        <f t="shared" si="0"/>
        <v>3.25</v>
      </c>
      <c r="H13" s="247">
        <f t="shared" si="0"/>
        <v>3.3125</v>
      </c>
      <c r="I13" s="247">
        <f t="shared" si="0"/>
        <v>3.5625</v>
      </c>
      <c r="J13" s="247">
        <f>AVERAGE(J15:J18)</f>
        <v>4.2083416666666666</v>
      </c>
      <c r="K13" s="247">
        <f t="shared" si="0"/>
        <v>5.0208166666666676</v>
      </c>
      <c r="L13" s="247">
        <f t="shared" si="0"/>
        <v>5.239583333333333</v>
      </c>
      <c r="M13" s="247">
        <f t="shared" ref="M13:P13" si="1">AVERAGE(M15:M18)</f>
        <v>3.25</v>
      </c>
      <c r="N13" s="247">
        <f t="shared" si="1"/>
        <v>3.25</v>
      </c>
      <c r="O13" s="247">
        <f t="shared" si="1"/>
        <v>5.3749916666666664</v>
      </c>
      <c r="P13" s="247">
        <f t="shared" si="1"/>
        <v>8.0625</v>
      </c>
      <c r="U13" s="17">
        <v>4932.3999999999996</v>
      </c>
    </row>
    <row r="14" spans="3:21" x14ac:dyDescent="0.2">
      <c r="D14" s="248" t="s">
        <v>20</v>
      </c>
      <c r="U14" s="17">
        <v>2281.6999999999998</v>
      </c>
    </row>
    <row r="15" spans="3:21" x14ac:dyDescent="0.2">
      <c r="D15" s="249" t="s">
        <v>75</v>
      </c>
      <c r="E15" s="250">
        <v>3.25</v>
      </c>
      <c r="F15" s="250">
        <v>3.25</v>
      </c>
      <c r="G15" s="250">
        <v>3.25</v>
      </c>
      <c r="H15" s="250">
        <v>3.25</v>
      </c>
      <c r="I15" s="250">
        <v>3.5</v>
      </c>
      <c r="J15" s="250">
        <v>3.9167000000000001</v>
      </c>
      <c r="K15" s="250">
        <v>4.666666666666667</v>
      </c>
      <c r="L15" s="250">
        <v>5.5</v>
      </c>
      <c r="M15" s="250">
        <v>3.25</v>
      </c>
      <c r="N15" s="250">
        <v>3.25</v>
      </c>
      <c r="O15" s="250">
        <v>3.5416666666666665</v>
      </c>
      <c r="P15" s="250">
        <v>7.375</v>
      </c>
      <c r="U15" s="17">
        <v>100.2</v>
      </c>
    </row>
    <row r="16" spans="3:21" x14ac:dyDescent="0.2">
      <c r="D16" s="249" t="s">
        <v>76</v>
      </c>
      <c r="E16" s="250">
        <v>3.25</v>
      </c>
      <c r="F16" s="250">
        <v>3.25</v>
      </c>
      <c r="G16" s="250">
        <v>3.25</v>
      </c>
      <c r="H16" s="250">
        <v>3.25</v>
      </c>
      <c r="I16" s="250">
        <v>3.5</v>
      </c>
      <c r="J16" s="250">
        <v>4.25</v>
      </c>
      <c r="K16" s="250">
        <v>4.875</v>
      </c>
      <c r="L16" s="250">
        <v>5.5</v>
      </c>
      <c r="M16" s="250">
        <v>3.25</v>
      </c>
      <c r="N16" s="250">
        <v>3.25</v>
      </c>
      <c r="O16" s="250">
        <v>4.875</v>
      </c>
      <c r="P16" s="250">
        <v>8.125</v>
      </c>
      <c r="U16" s="17">
        <v>2181.5</v>
      </c>
    </row>
    <row r="17" spans="3:24" x14ac:dyDescent="0.2">
      <c r="D17" s="249" t="s">
        <v>77</v>
      </c>
      <c r="E17" s="250">
        <v>3.25</v>
      </c>
      <c r="F17" s="250">
        <v>3.25</v>
      </c>
      <c r="G17" s="250">
        <v>3.25</v>
      </c>
      <c r="H17" s="250">
        <v>3.25</v>
      </c>
      <c r="I17" s="250">
        <v>3.5</v>
      </c>
      <c r="J17" s="250">
        <v>4.25</v>
      </c>
      <c r="K17" s="250">
        <v>5.0833000000000004</v>
      </c>
      <c r="L17" s="250">
        <v>5.083333333333333</v>
      </c>
      <c r="M17" s="250">
        <v>3.25</v>
      </c>
      <c r="N17" s="250">
        <v>3.25</v>
      </c>
      <c r="O17" s="250">
        <v>6.125</v>
      </c>
      <c r="P17" s="250">
        <v>8.25</v>
      </c>
      <c r="U17" s="17">
        <v>2650.7</v>
      </c>
    </row>
    <row r="18" spans="3:24" x14ac:dyDescent="0.2">
      <c r="D18" s="249" t="s">
        <v>78</v>
      </c>
      <c r="E18" s="250">
        <v>3.25</v>
      </c>
      <c r="F18" s="250">
        <v>3.25</v>
      </c>
      <c r="G18" s="250">
        <v>3.25</v>
      </c>
      <c r="H18" s="250">
        <v>3.5</v>
      </c>
      <c r="I18" s="250">
        <v>3.75</v>
      </c>
      <c r="J18" s="250">
        <v>4.416666666666667</v>
      </c>
      <c r="K18" s="250">
        <v>5.4583000000000004</v>
      </c>
      <c r="L18" s="250">
        <v>4.875</v>
      </c>
      <c r="M18" s="250">
        <v>3.25</v>
      </c>
      <c r="N18" s="250">
        <v>3.25</v>
      </c>
      <c r="O18" s="250">
        <v>6.9583000000000004</v>
      </c>
      <c r="P18" s="250">
        <v>8.5</v>
      </c>
      <c r="U18" s="17">
        <v>2971.2</v>
      </c>
    </row>
    <row r="19" spans="3:24" x14ac:dyDescent="0.2">
      <c r="D19" s="24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U19" s="17">
        <v>243.6</v>
      </c>
    </row>
    <row r="20" spans="3:24" x14ac:dyDescent="0.2">
      <c r="D20" s="243"/>
      <c r="E20" s="25"/>
      <c r="F20" s="25"/>
      <c r="G20" s="25"/>
      <c r="H20" s="25"/>
      <c r="I20" s="25"/>
      <c r="U20" s="17">
        <v>70.099999999999994</v>
      </c>
    </row>
    <row r="21" spans="3:24" x14ac:dyDescent="0.2">
      <c r="D21" s="251" t="s">
        <v>69</v>
      </c>
      <c r="U21" s="17">
        <v>2657.5</v>
      </c>
    </row>
    <row r="22" spans="3:24" x14ac:dyDescent="0.2">
      <c r="D22" s="25" t="s">
        <v>104</v>
      </c>
      <c r="U22" s="17">
        <v>-320.5</v>
      </c>
    </row>
    <row r="23" spans="3:24" ht="14.25" x14ac:dyDescent="0.2">
      <c r="D23" s="252"/>
    </row>
    <row r="24" spans="3:24" ht="14.25" x14ac:dyDescent="0.2">
      <c r="D24" s="252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>
        <v>4932.3999999999996</v>
      </c>
      <c r="V24" s="127"/>
      <c r="W24" s="127"/>
    </row>
    <row r="25" spans="3:24" ht="15.75" x14ac:dyDescent="0.25">
      <c r="C25" s="151" t="s">
        <v>182</v>
      </c>
      <c r="D25" s="311" t="s">
        <v>254</v>
      </c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127"/>
      <c r="Q25" s="127"/>
      <c r="R25" s="127"/>
      <c r="S25" s="127"/>
      <c r="T25" s="127"/>
      <c r="U25" s="127">
        <v>1209.0999999999999</v>
      </c>
      <c r="V25" s="127"/>
      <c r="W25" s="127"/>
    </row>
    <row r="26" spans="3:24" x14ac:dyDescent="0.2">
      <c r="G26" s="244"/>
      <c r="H26" s="244"/>
      <c r="J26" s="135">
        <v>2000</v>
      </c>
      <c r="K26" s="127"/>
      <c r="L26" s="244"/>
      <c r="P26" s="244" t="s">
        <v>153</v>
      </c>
      <c r="Q26" s="127"/>
      <c r="R26" s="152"/>
      <c r="S26" s="152"/>
      <c r="T26" s="152"/>
      <c r="U26" s="152"/>
      <c r="V26" s="152"/>
      <c r="W26" s="152"/>
      <c r="X26" s="152"/>
    </row>
    <row r="27" spans="3:24" x14ac:dyDescent="0.2">
      <c r="D27" s="245"/>
      <c r="E27" s="228">
        <v>2012</v>
      </c>
      <c r="F27" s="228">
        <v>2013</v>
      </c>
      <c r="G27" s="228">
        <v>2014</v>
      </c>
      <c r="H27" s="228">
        <v>2015</v>
      </c>
      <c r="I27" s="228">
        <v>2016</v>
      </c>
      <c r="J27" s="228">
        <v>2017</v>
      </c>
      <c r="K27" s="228">
        <v>2018</v>
      </c>
      <c r="L27" s="228">
        <v>2019</v>
      </c>
      <c r="M27" s="228">
        <v>2020</v>
      </c>
      <c r="N27" s="228">
        <v>2021</v>
      </c>
      <c r="O27" s="228">
        <v>2022</v>
      </c>
      <c r="P27" s="228">
        <v>2023</v>
      </c>
      <c r="Q27" s="253"/>
      <c r="R27" s="152"/>
      <c r="S27" s="153"/>
      <c r="T27" s="153"/>
      <c r="U27" s="153"/>
      <c r="V27" s="153"/>
      <c r="W27" s="152"/>
    </row>
    <row r="28" spans="3:24" x14ac:dyDescent="0.2">
      <c r="N28" s="253"/>
      <c r="P28" s="253"/>
      <c r="Q28" s="253"/>
      <c r="R28" s="127"/>
      <c r="S28" s="127"/>
      <c r="T28" s="127"/>
      <c r="U28" s="127"/>
      <c r="V28" s="127"/>
      <c r="W28" s="127"/>
    </row>
    <row r="29" spans="3:24" x14ac:dyDescent="0.2">
      <c r="D29" s="246" t="s">
        <v>21</v>
      </c>
      <c r="E29" s="247">
        <f t="shared" ref="E29:L29" si="2">AVERAGE(E31:E34)</f>
        <v>6.3674999999999997</v>
      </c>
      <c r="F29" s="247">
        <f t="shared" si="2"/>
        <v>6.2550000000000008</v>
      </c>
      <c r="G29" s="247">
        <f t="shared" si="2"/>
        <v>6.4074999999999998</v>
      </c>
      <c r="H29" s="247">
        <f t="shared" si="2"/>
        <v>6.8650000000000002</v>
      </c>
      <c r="I29" s="247">
        <f t="shared" si="2"/>
        <v>6.9909664677547756</v>
      </c>
      <c r="J29" s="247">
        <f t="shared" si="2"/>
        <v>7.2216295183690571</v>
      </c>
      <c r="K29" s="247">
        <f t="shared" si="2"/>
        <v>7.8053343721465476</v>
      </c>
      <c r="L29" s="247">
        <f t="shared" si="2"/>
        <v>7.4923051249999997</v>
      </c>
      <c r="M29" s="247">
        <f t="shared" ref="M29:O29" si="3">AVERAGE(M31:M34)</f>
        <v>6.0040212916666675</v>
      </c>
      <c r="N29" s="247">
        <f>AVERAGE(N31:N34)</f>
        <v>5.8834499999999998</v>
      </c>
      <c r="O29" s="247">
        <f t="shared" si="3"/>
        <v>6.9362656338412725</v>
      </c>
      <c r="P29" s="247">
        <f>AVERAGE(P31:P34)</f>
        <v>9.0111749999999997</v>
      </c>
      <c r="Q29" s="127"/>
      <c r="R29" s="127"/>
      <c r="S29" s="127"/>
      <c r="T29" s="127"/>
      <c r="U29" s="127"/>
      <c r="V29" s="127"/>
      <c r="W29" s="127"/>
    </row>
    <row r="30" spans="3:24" x14ac:dyDescent="0.2">
      <c r="D30" s="248" t="s">
        <v>20</v>
      </c>
      <c r="Q30" s="127"/>
      <c r="R30" s="127"/>
      <c r="S30" s="127"/>
      <c r="T30" s="127"/>
      <c r="U30" s="127"/>
      <c r="V30" s="127"/>
      <c r="W30" s="127"/>
    </row>
    <row r="31" spans="3:24" x14ac:dyDescent="0.2">
      <c r="D31" s="249" t="s">
        <v>75</v>
      </c>
      <c r="E31" s="250">
        <v>6.43</v>
      </c>
      <c r="F31" s="250">
        <v>6.29</v>
      </c>
      <c r="G31" s="250">
        <v>6.23</v>
      </c>
      <c r="H31" s="250">
        <v>6.79</v>
      </c>
      <c r="I31" s="250">
        <v>7.1826999999999996</v>
      </c>
      <c r="J31" s="250">
        <v>7.0472000000000001</v>
      </c>
      <c r="K31" s="250">
        <v>7.6900079705688604</v>
      </c>
      <c r="L31" s="250">
        <v>7.5218999999999996</v>
      </c>
      <c r="M31" s="250">
        <v>6.0247999999999999</v>
      </c>
      <c r="N31" s="250">
        <v>6.0872999999999999</v>
      </c>
      <c r="O31" s="250">
        <v>5.8516625353650902</v>
      </c>
      <c r="P31" s="250">
        <v>8.0828000000000007</v>
      </c>
      <c r="Q31" s="127"/>
      <c r="R31" s="127"/>
      <c r="S31" s="127"/>
      <c r="T31" s="127"/>
      <c r="U31" s="127"/>
      <c r="V31" s="127"/>
      <c r="W31" s="127"/>
    </row>
    <row r="32" spans="3:24" x14ac:dyDescent="0.2">
      <c r="D32" s="249" t="s">
        <v>76</v>
      </c>
      <c r="E32" s="250">
        <v>6.41</v>
      </c>
      <c r="F32" s="250">
        <v>6.26</v>
      </c>
      <c r="G32" s="250">
        <v>6.47</v>
      </c>
      <c r="H32" s="250">
        <v>6.85</v>
      </c>
      <c r="I32" s="250">
        <v>6.8823999999999996</v>
      </c>
      <c r="J32" s="250">
        <v>7.0823917150331503</v>
      </c>
      <c r="K32" s="250">
        <v>7.8665295180173302</v>
      </c>
      <c r="L32" s="250">
        <v>7.6784393333333298</v>
      </c>
      <c r="M32" s="250">
        <v>6.2510851666666696</v>
      </c>
      <c r="N32" s="250">
        <v>5.8482000000000003</v>
      </c>
      <c r="O32" s="250">
        <v>6.5342000000000002</v>
      </c>
      <c r="P32" s="250">
        <v>9.0440000000000005</v>
      </c>
      <c r="Q32" s="127"/>
      <c r="R32" s="127"/>
      <c r="S32" s="127"/>
      <c r="T32" s="127"/>
      <c r="U32" s="127"/>
      <c r="V32" s="127"/>
      <c r="W32" s="127"/>
    </row>
    <row r="33" spans="4:23" x14ac:dyDescent="0.2">
      <c r="D33" s="249" t="s">
        <v>77</v>
      </c>
      <c r="E33" s="250">
        <v>6.3</v>
      </c>
      <c r="F33" s="250">
        <v>6.23</v>
      </c>
      <c r="G33" s="250">
        <v>6.34</v>
      </c>
      <c r="H33" s="250">
        <v>6.86</v>
      </c>
      <c r="I33" s="250">
        <v>6.8843658710191002</v>
      </c>
      <c r="J33" s="250">
        <v>7.174573727222409</v>
      </c>
      <c r="K33" s="250">
        <v>7.9450000000000003</v>
      </c>
      <c r="L33" s="250">
        <v>7.4958580000000001</v>
      </c>
      <c r="M33" s="250">
        <v>5.9560000000000004</v>
      </c>
      <c r="N33" s="250">
        <v>5.7714999999999996</v>
      </c>
      <c r="O33" s="250">
        <v>7.4124999999999996</v>
      </c>
      <c r="P33" s="250">
        <v>9.1013999999999999</v>
      </c>
      <c r="Q33" s="127"/>
      <c r="R33" s="127"/>
      <c r="S33" s="127"/>
      <c r="T33" s="127"/>
      <c r="U33" s="127"/>
      <c r="V33" s="127"/>
      <c r="W33" s="127"/>
    </row>
    <row r="34" spans="4:23" x14ac:dyDescent="0.2">
      <c r="D34" s="249" t="s">
        <v>78</v>
      </c>
      <c r="E34" s="250">
        <v>6.33</v>
      </c>
      <c r="F34" s="250">
        <v>6.24</v>
      </c>
      <c r="G34" s="250">
        <v>6.59</v>
      </c>
      <c r="H34" s="250">
        <v>6.96</v>
      </c>
      <c r="I34" s="250">
        <v>7.0144000000000002</v>
      </c>
      <c r="J34" s="250">
        <v>7.5823526312206697</v>
      </c>
      <c r="K34" s="250">
        <v>7.7198000000000002</v>
      </c>
      <c r="L34" s="250">
        <v>7.27302316666667</v>
      </c>
      <c r="M34" s="250">
        <v>5.7842000000000002</v>
      </c>
      <c r="N34" s="250">
        <v>5.8268000000000004</v>
      </c>
      <c r="O34" s="250">
        <v>7.9466999999999999</v>
      </c>
      <c r="P34" s="250">
        <v>9.8164999999999996</v>
      </c>
    </row>
    <row r="35" spans="4:23" x14ac:dyDescent="0.2">
      <c r="D35" s="24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</row>
    <row r="36" spans="4:23" x14ac:dyDescent="0.2">
      <c r="D36" s="243"/>
      <c r="E36" s="25"/>
      <c r="F36" s="25"/>
      <c r="G36" s="25"/>
      <c r="H36" s="25"/>
      <c r="I36" s="25"/>
    </row>
    <row r="37" spans="4:23" x14ac:dyDescent="0.2">
      <c r="D37" s="133" t="s">
        <v>99</v>
      </c>
    </row>
    <row r="38" spans="4:23" x14ac:dyDescent="0.2">
      <c r="D38" s="25"/>
    </row>
    <row r="39" spans="4:23" x14ac:dyDescent="0.2">
      <c r="D39" s="25"/>
    </row>
    <row r="40" spans="4:23" x14ac:dyDescent="0.2">
      <c r="D40" s="25"/>
    </row>
    <row r="41" spans="4:23" x14ac:dyDescent="0.2">
      <c r="D41" s="25"/>
    </row>
    <row r="42" spans="4:23" x14ac:dyDescent="0.2">
      <c r="D42" s="25"/>
    </row>
    <row r="43" spans="4:23" x14ac:dyDescent="0.2">
      <c r="D43" s="25"/>
    </row>
    <row r="44" spans="4:23" x14ac:dyDescent="0.2">
      <c r="D44" s="25"/>
    </row>
    <row r="45" spans="4:23" x14ac:dyDescent="0.2">
      <c r="D45" s="25"/>
    </row>
    <row r="46" spans="4:23" x14ac:dyDescent="0.2">
      <c r="D46" s="25"/>
    </row>
    <row r="50" spans="3:6" x14ac:dyDescent="0.2">
      <c r="D50" s="25"/>
    </row>
    <row r="52" spans="3:6" x14ac:dyDescent="0.2">
      <c r="D52" s="25"/>
    </row>
    <row r="53" spans="3:6" x14ac:dyDescent="0.2">
      <c r="D53" s="25"/>
    </row>
    <row r="54" spans="3:6" x14ac:dyDescent="0.2">
      <c r="D54" s="48"/>
    </row>
    <row r="55" spans="3:6" x14ac:dyDescent="0.2">
      <c r="C55" s="47"/>
      <c r="D55" s="47"/>
    </row>
    <row r="56" spans="3:6" ht="9" customHeight="1" x14ac:dyDescent="0.2">
      <c r="C56" s="47"/>
      <c r="D56" s="47"/>
    </row>
    <row r="57" spans="3:6" x14ac:dyDescent="0.2">
      <c r="C57" s="48"/>
      <c r="D57" s="48"/>
      <c r="E57" s="48"/>
      <c r="F57" s="221"/>
    </row>
  </sheetData>
  <mergeCells count="2">
    <mergeCell ref="D8:O8"/>
    <mergeCell ref="D25:O25"/>
  </mergeCells>
  <phoneticPr fontId="6" type="noConversion"/>
  <printOptions horizontalCentered="1"/>
  <pageMargins left="1" right="1" top="1" bottom="1" header="0.5" footer="0.5"/>
  <pageSetup scale="57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717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47625</xdr:rowOff>
              </from>
              <to>
                <xdr:col>3</xdr:col>
                <xdr:colOff>142875</xdr:colOff>
                <xdr:row>4</xdr:row>
                <xdr:rowOff>19050</xdr:rowOff>
              </to>
            </anchor>
          </objectPr>
        </oleObject>
      </mc:Choice>
      <mc:Fallback>
        <oleObject progId="MSPhotoEd.3" shapeId="717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92"/>
  <sheetViews>
    <sheetView zoomScaleNormal="100" workbookViewId="0">
      <pane ySplit="12" topLeftCell="A13" activePane="bottomLeft" state="frozen"/>
      <selection pane="bottomLeft" activeCell="K31" sqref="K31"/>
    </sheetView>
  </sheetViews>
  <sheetFormatPr defaultRowHeight="12.75" x14ac:dyDescent="0.2"/>
  <cols>
    <col min="1" max="3" width="9.140625" style="17"/>
    <col min="4" max="4" width="11.5703125" style="17" customWidth="1"/>
    <col min="5" max="5" width="12.140625" style="17" customWidth="1"/>
    <col min="6" max="6" width="12.85546875" style="17" customWidth="1"/>
    <col min="7" max="7" width="12.5703125" style="17" customWidth="1"/>
    <col min="8" max="8" width="11.28515625" style="17" customWidth="1"/>
    <col min="9" max="9" width="11.42578125" style="17" customWidth="1"/>
    <col min="10" max="10" width="13.140625" style="17" bestFit="1" customWidth="1"/>
    <col min="11" max="11" width="10.42578125" style="17" bestFit="1" customWidth="1"/>
    <col min="12" max="12" width="9.140625" style="17"/>
    <col min="13" max="13" width="10.42578125" style="17" bestFit="1" customWidth="1"/>
    <col min="14" max="16384" width="9.140625" style="17"/>
  </cols>
  <sheetData>
    <row r="2" spans="1:13" x14ac:dyDescent="0.2">
      <c r="H2" s="140" t="s">
        <v>253</v>
      </c>
    </row>
    <row r="7" spans="1:13" ht="15.75" x14ac:dyDescent="0.25">
      <c r="A7" s="144" t="s">
        <v>226</v>
      </c>
      <c r="C7" s="311" t="s">
        <v>255</v>
      </c>
      <c r="D7" s="311"/>
      <c r="E7" s="311"/>
      <c r="F7" s="311"/>
      <c r="G7" s="311"/>
      <c r="H7" s="311"/>
      <c r="I7" s="311"/>
      <c r="J7" s="311"/>
    </row>
    <row r="8" spans="1:13" x14ac:dyDescent="0.2">
      <c r="B8" s="25"/>
      <c r="C8" s="25"/>
    </row>
    <row r="9" spans="1:13" x14ac:dyDescent="0.2">
      <c r="B9" s="25"/>
      <c r="C9" s="254"/>
      <c r="D9" s="313" t="s">
        <v>136</v>
      </c>
      <c r="E9" s="314"/>
      <c r="F9" s="314"/>
      <c r="G9" s="314"/>
      <c r="H9" s="314"/>
      <c r="I9" s="314"/>
      <c r="J9" s="315"/>
    </row>
    <row r="10" spans="1:13" x14ac:dyDescent="0.2">
      <c r="D10" s="320" t="s">
        <v>137</v>
      </c>
      <c r="E10" s="321"/>
      <c r="F10" s="319" t="s">
        <v>190</v>
      </c>
      <c r="G10" s="319"/>
      <c r="H10" s="319"/>
      <c r="I10" s="319"/>
      <c r="J10" s="316" t="s">
        <v>22</v>
      </c>
    </row>
    <row r="11" spans="1:13" ht="14.25" customHeight="1" x14ac:dyDescent="0.2">
      <c r="D11" s="322"/>
      <c r="E11" s="323"/>
      <c r="F11" s="319" t="s">
        <v>139</v>
      </c>
      <c r="G11" s="319"/>
      <c r="H11" s="319"/>
      <c r="I11" s="316" t="s">
        <v>16</v>
      </c>
      <c r="J11" s="317"/>
    </row>
    <row r="12" spans="1:13" ht="36.75" customHeight="1" x14ac:dyDescent="0.2">
      <c r="D12" s="255" t="s">
        <v>188</v>
      </c>
      <c r="E12" s="255" t="s">
        <v>189</v>
      </c>
      <c r="F12" s="255" t="s">
        <v>191</v>
      </c>
      <c r="G12" s="255" t="s">
        <v>192</v>
      </c>
      <c r="H12" s="255" t="s">
        <v>197</v>
      </c>
      <c r="I12" s="318"/>
      <c r="J12" s="318"/>
    </row>
    <row r="13" spans="1:13" x14ac:dyDescent="0.2">
      <c r="C13" s="256"/>
      <c r="D13" s="324" t="s">
        <v>198</v>
      </c>
      <c r="E13" s="324"/>
      <c r="F13" s="324"/>
      <c r="G13" s="324"/>
      <c r="H13" s="324"/>
      <c r="I13" s="324"/>
      <c r="J13" s="324"/>
    </row>
    <row r="14" spans="1:13" x14ac:dyDescent="0.2">
      <c r="A14" s="25"/>
      <c r="B14" s="312">
        <v>2006</v>
      </c>
      <c r="C14" s="122" t="s">
        <v>193</v>
      </c>
      <c r="D14" s="257">
        <v>86670.645000000004</v>
      </c>
      <c r="E14" s="258">
        <v>4024509.166666667</v>
      </c>
      <c r="F14" s="258">
        <v>59719.166666666672</v>
      </c>
      <c r="G14" s="258">
        <v>68057.5</v>
      </c>
      <c r="H14" s="258">
        <v>1674554.1666666667</v>
      </c>
      <c r="I14" s="258">
        <v>-547801.34300000034</v>
      </c>
      <c r="J14" s="258">
        <f>SUM(D14:I14)</f>
        <v>5365709.3020000001</v>
      </c>
      <c r="K14" s="18"/>
      <c r="L14" s="18"/>
      <c r="M14" s="18"/>
    </row>
    <row r="15" spans="1:13" x14ac:dyDescent="0.2">
      <c r="A15" s="25"/>
      <c r="B15" s="312"/>
      <c r="C15" s="122" t="s">
        <v>194</v>
      </c>
      <c r="D15" s="259">
        <v>88727.35500000001</v>
      </c>
      <c r="E15" s="258">
        <v>4392782.5</v>
      </c>
      <c r="F15" s="258">
        <v>56512.5</v>
      </c>
      <c r="G15" s="258">
        <v>72328.333333333343</v>
      </c>
      <c r="H15" s="258">
        <v>1715580.8333333335</v>
      </c>
      <c r="I15" s="258">
        <v>-580122.28433333337</v>
      </c>
      <c r="J15" s="258">
        <f t="shared" ref="J15:J53" si="0">SUM(D15:I15)</f>
        <v>5745809.2373333331</v>
      </c>
      <c r="K15" s="18"/>
      <c r="L15" s="18"/>
      <c r="M15" s="18"/>
    </row>
    <row r="16" spans="1:13" x14ac:dyDescent="0.2">
      <c r="A16" s="25"/>
      <c r="B16" s="312"/>
      <c r="C16" s="122" t="s">
        <v>195</v>
      </c>
      <c r="D16" s="259">
        <v>88591.119000000006</v>
      </c>
      <c r="E16" s="258">
        <v>3971727.5</v>
      </c>
      <c r="F16" s="258">
        <v>54845.833333333336</v>
      </c>
      <c r="G16" s="258">
        <v>69038.333333333343</v>
      </c>
      <c r="H16" s="258">
        <v>1808348.3333333335</v>
      </c>
      <c r="I16" s="258">
        <v>-256734.25766666653</v>
      </c>
      <c r="J16" s="258">
        <f t="shared" si="0"/>
        <v>5735816.8613333348</v>
      </c>
      <c r="K16" s="18"/>
      <c r="L16" s="18"/>
      <c r="M16" s="18"/>
    </row>
    <row r="17" spans="1:13" x14ac:dyDescent="0.2">
      <c r="A17" s="25"/>
      <c r="B17" s="312"/>
      <c r="C17" s="168" t="s">
        <v>196</v>
      </c>
      <c r="D17" s="260">
        <v>99227.611999999994</v>
      </c>
      <c r="E17" s="261">
        <v>4691723.333333334</v>
      </c>
      <c r="F17" s="261">
        <v>63507.5</v>
      </c>
      <c r="G17" s="261">
        <v>67273.333333333343</v>
      </c>
      <c r="H17" s="261">
        <v>1996531.6666666667</v>
      </c>
      <c r="I17" s="261">
        <v>-600782.15633333358</v>
      </c>
      <c r="J17" s="261">
        <f t="shared" si="0"/>
        <v>6317481.2889999999</v>
      </c>
      <c r="K17" s="18"/>
      <c r="L17" s="18"/>
      <c r="M17" s="18"/>
    </row>
    <row r="18" spans="1:13" x14ac:dyDescent="0.2">
      <c r="A18" s="25"/>
      <c r="B18" s="312">
        <v>2007</v>
      </c>
      <c r="C18" s="122" t="s">
        <v>193</v>
      </c>
      <c r="D18" s="259">
        <v>96340.832999999999</v>
      </c>
      <c r="E18" s="258">
        <v>5487165.833333334</v>
      </c>
      <c r="F18" s="258">
        <v>63025.833333333336</v>
      </c>
      <c r="G18" s="258">
        <v>79523.333333333343</v>
      </c>
      <c r="H18" s="258">
        <v>1919167.5</v>
      </c>
      <c r="I18" s="258">
        <v>-707202.98933333415</v>
      </c>
      <c r="J18" s="258">
        <f t="shared" si="0"/>
        <v>6938020.3436666653</v>
      </c>
      <c r="K18" s="18"/>
      <c r="L18" s="18"/>
      <c r="M18" s="18"/>
    </row>
    <row r="19" spans="1:13" x14ac:dyDescent="0.2">
      <c r="A19" s="25"/>
      <c r="B19" s="312"/>
      <c r="C19" s="122" t="s">
        <v>194</v>
      </c>
      <c r="D19" s="259">
        <v>100149.348</v>
      </c>
      <c r="E19" s="258">
        <v>5579821.666666667</v>
      </c>
      <c r="F19" s="258">
        <v>74015</v>
      </c>
      <c r="G19" s="258">
        <v>79910.833333333343</v>
      </c>
      <c r="H19" s="258">
        <v>1976854.1666666667</v>
      </c>
      <c r="I19" s="258">
        <v>-839611.08399999957</v>
      </c>
      <c r="J19" s="258">
        <f t="shared" si="0"/>
        <v>6971139.9306666674</v>
      </c>
      <c r="K19" s="18"/>
      <c r="L19" s="18"/>
      <c r="M19" s="18"/>
    </row>
    <row r="20" spans="1:13" x14ac:dyDescent="0.2">
      <c r="A20" s="25"/>
      <c r="B20" s="312"/>
      <c r="C20" s="122" t="s">
        <v>195</v>
      </c>
      <c r="D20" s="259">
        <v>101021.058</v>
      </c>
      <c r="E20" s="258">
        <v>3560583.3333333335</v>
      </c>
      <c r="F20" s="258">
        <v>97662.5</v>
      </c>
      <c r="G20" s="258">
        <v>56420</v>
      </c>
      <c r="H20" s="258">
        <v>2044321.6666666667</v>
      </c>
      <c r="I20" s="258">
        <v>-698186.97200000053</v>
      </c>
      <c r="J20" s="258">
        <f t="shared" si="0"/>
        <v>5161821.5859999992</v>
      </c>
      <c r="K20" s="18"/>
      <c r="L20" s="18"/>
      <c r="M20" s="18"/>
    </row>
    <row r="21" spans="1:13" x14ac:dyDescent="0.2">
      <c r="A21" s="25"/>
      <c r="B21" s="312"/>
      <c r="C21" s="168" t="s">
        <v>196</v>
      </c>
      <c r="D21" s="260">
        <v>106603.796</v>
      </c>
      <c r="E21" s="261">
        <v>3729686.666666667</v>
      </c>
      <c r="F21" s="261">
        <v>118238.33333333334</v>
      </c>
      <c r="G21" s="261">
        <v>71932.5</v>
      </c>
      <c r="H21" s="261">
        <v>2066850.8333333335</v>
      </c>
      <c r="I21" s="261">
        <v>-678604.64500000002</v>
      </c>
      <c r="J21" s="261">
        <f t="shared" si="0"/>
        <v>5414707.4843333345</v>
      </c>
      <c r="K21" s="18"/>
      <c r="L21" s="18"/>
      <c r="M21" s="18"/>
    </row>
    <row r="22" spans="1:13" x14ac:dyDescent="0.2">
      <c r="A22" s="25"/>
      <c r="B22" s="312">
        <v>2008</v>
      </c>
      <c r="C22" s="262" t="s">
        <v>193</v>
      </c>
      <c r="D22" s="257">
        <v>105087.64004999999</v>
      </c>
      <c r="E22" s="263">
        <v>3964058.3333333335</v>
      </c>
      <c r="F22" s="263">
        <v>116841.66666666667</v>
      </c>
      <c r="G22" s="263">
        <v>73586.666666666672</v>
      </c>
      <c r="H22" s="263">
        <v>2065420</v>
      </c>
      <c r="I22" s="263">
        <v>-762221.63071666693</v>
      </c>
      <c r="J22" s="263">
        <f t="shared" si="0"/>
        <v>5562772.676</v>
      </c>
      <c r="K22" s="18"/>
      <c r="L22" s="18"/>
      <c r="M22" s="18"/>
    </row>
    <row r="23" spans="1:13" x14ac:dyDescent="0.2">
      <c r="A23" s="25"/>
      <c r="B23" s="312"/>
      <c r="C23" s="122" t="s">
        <v>194</v>
      </c>
      <c r="D23" s="259">
        <v>96135.684860000008</v>
      </c>
      <c r="E23" s="264">
        <v>3180214.166666667</v>
      </c>
      <c r="F23" s="264">
        <v>206712.5</v>
      </c>
      <c r="G23" s="264">
        <v>68721.666666666672</v>
      </c>
      <c r="H23" s="264">
        <v>2133533.3333333335</v>
      </c>
      <c r="I23" s="264">
        <v>-687241.05685999931</v>
      </c>
      <c r="J23" s="264">
        <f t="shared" si="0"/>
        <v>4998076.2946666675</v>
      </c>
      <c r="K23" s="18"/>
      <c r="L23" s="18"/>
      <c r="M23" s="18"/>
    </row>
    <row r="24" spans="1:13" x14ac:dyDescent="0.2">
      <c r="A24" s="25"/>
      <c r="B24" s="312"/>
      <c r="C24" s="122" t="s">
        <v>195</v>
      </c>
      <c r="D24" s="259">
        <v>94802.677390000012</v>
      </c>
      <c r="E24" s="264">
        <v>2922439.166666667</v>
      </c>
      <c r="F24" s="264">
        <v>201800.83333333334</v>
      </c>
      <c r="G24" s="264">
        <v>68501.666666666672</v>
      </c>
      <c r="H24" s="264">
        <v>2242175</v>
      </c>
      <c r="I24" s="264">
        <v>-858336.25438999932</v>
      </c>
      <c r="J24" s="264">
        <f t="shared" si="0"/>
        <v>4671383.0896666674</v>
      </c>
      <c r="K24" s="18"/>
      <c r="L24" s="18"/>
      <c r="M24" s="18"/>
    </row>
    <row r="25" spans="1:13" x14ac:dyDescent="0.2">
      <c r="A25" s="25"/>
      <c r="B25" s="312"/>
      <c r="C25" s="168" t="s">
        <v>196</v>
      </c>
      <c r="D25" s="260">
        <v>101581.79726000001</v>
      </c>
      <c r="E25" s="261">
        <v>3477506.666666667</v>
      </c>
      <c r="F25" s="261">
        <v>271669.16666666669</v>
      </c>
      <c r="G25" s="261">
        <v>53970.833333333336</v>
      </c>
      <c r="H25" s="261">
        <v>2437492.5</v>
      </c>
      <c r="I25" s="261">
        <v>-774034.70396000042</v>
      </c>
      <c r="J25" s="261">
        <f t="shared" si="0"/>
        <v>5568186.2599666668</v>
      </c>
      <c r="K25" s="18"/>
      <c r="L25" s="18"/>
      <c r="M25" s="18"/>
    </row>
    <row r="26" spans="1:13" x14ac:dyDescent="0.2">
      <c r="A26" s="25"/>
      <c r="B26" s="312">
        <v>2009</v>
      </c>
      <c r="C26" s="262" t="s">
        <v>193</v>
      </c>
      <c r="D26" s="257">
        <v>102951.75452999996</v>
      </c>
      <c r="E26" s="263">
        <v>5734872.5</v>
      </c>
      <c r="F26" s="263">
        <v>267909.16666666669</v>
      </c>
      <c r="G26" s="263">
        <v>63519.166666666672</v>
      </c>
      <c r="H26" s="263">
        <v>2522249.166666667</v>
      </c>
      <c r="I26" s="263">
        <v>-786174.49186333455</v>
      </c>
      <c r="J26" s="263">
        <f t="shared" si="0"/>
        <v>7905327.2626666669</v>
      </c>
      <c r="K26" s="18"/>
      <c r="L26" s="18"/>
      <c r="M26" s="18"/>
    </row>
    <row r="27" spans="1:13" x14ac:dyDescent="0.2">
      <c r="A27" s="25"/>
      <c r="B27" s="312"/>
      <c r="C27" s="122" t="s">
        <v>194</v>
      </c>
      <c r="D27" s="259">
        <v>96486.005000000005</v>
      </c>
      <c r="E27" s="264">
        <v>3495581.666666667</v>
      </c>
      <c r="F27" s="264">
        <v>341632.5</v>
      </c>
      <c r="G27" s="264">
        <v>64640</v>
      </c>
      <c r="H27" s="264">
        <v>2596600</v>
      </c>
      <c r="I27" s="264">
        <v>-862075.69866666733</v>
      </c>
      <c r="J27" s="264">
        <f t="shared" si="0"/>
        <v>5732864.4729999993</v>
      </c>
      <c r="K27" s="18"/>
      <c r="L27" s="18"/>
      <c r="M27" s="18"/>
    </row>
    <row r="28" spans="1:13" x14ac:dyDescent="0.2">
      <c r="A28" s="25"/>
      <c r="B28" s="312"/>
      <c r="C28" s="122" t="s">
        <v>195</v>
      </c>
      <c r="D28" s="259">
        <v>93356.459000000003</v>
      </c>
      <c r="E28" s="264">
        <v>3210787.5</v>
      </c>
      <c r="F28" s="264">
        <v>332238.33333333337</v>
      </c>
      <c r="G28" s="264">
        <v>70081.666666666672</v>
      </c>
      <c r="H28" s="264">
        <v>2624880.8333333335</v>
      </c>
      <c r="I28" s="264">
        <v>-872955.81933333387</v>
      </c>
      <c r="J28" s="264">
        <f t="shared" si="0"/>
        <v>5458388.9729999993</v>
      </c>
      <c r="K28" s="18"/>
      <c r="L28" s="18"/>
      <c r="M28" s="18"/>
    </row>
    <row r="29" spans="1:13" x14ac:dyDescent="0.2">
      <c r="A29" s="25"/>
      <c r="B29" s="312"/>
      <c r="C29" s="168" t="s">
        <v>196</v>
      </c>
      <c r="D29" s="260">
        <v>100446</v>
      </c>
      <c r="E29" s="261">
        <v>3880685</v>
      </c>
      <c r="F29" s="261">
        <v>172138.33333333334</v>
      </c>
      <c r="G29" s="261">
        <v>66539.166666666672</v>
      </c>
      <c r="H29" s="261">
        <v>2598143.3333333335</v>
      </c>
      <c r="I29" s="261">
        <v>-868310.7333333334</v>
      </c>
      <c r="J29" s="261">
        <f t="shared" si="0"/>
        <v>5949641.1000000006</v>
      </c>
      <c r="K29" s="18"/>
      <c r="L29" s="18"/>
      <c r="M29" s="18"/>
    </row>
    <row r="30" spans="1:13" x14ac:dyDescent="0.2">
      <c r="A30" s="25"/>
      <c r="B30" s="312">
        <v>2010</v>
      </c>
      <c r="C30" s="262" t="s">
        <v>193</v>
      </c>
      <c r="D30" s="257">
        <v>97702.232999999993</v>
      </c>
      <c r="E30" s="263">
        <v>3895525</v>
      </c>
      <c r="F30" s="263">
        <v>172836.66666666669</v>
      </c>
      <c r="G30" s="263">
        <v>65620</v>
      </c>
      <c r="H30" s="263">
        <v>2622090</v>
      </c>
      <c r="I30" s="263">
        <v>-828994.47233333334</v>
      </c>
      <c r="J30" s="263">
        <f t="shared" si="0"/>
        <v>6024779.4273333335</v>
      </c>
      <c r="K30" s="18"/>
      <c r="L30" s="18"/>
      <c r="M30" s="18"/>
    </row>
    <row r="31" spans="1:13" x14ac:dyDescent="0.2">
      <c r="A31" s="25"/>
      <c r="B31" s="312"/>
      <c r="C31" s="122" t="s">
        <v>194</v>
      </c>
      <c r="D31" s="259">
        <v>82826</v>
      </c>
      <c r="E31" s="264">
        <v>3867654.166666667</v>
      </c>
      <c r="F31" s="264">
        <v>187903.33333333334</v>
      </c>
      <c r="G31" s="264">
        <v>64602.5</v>
      </c>
      <c r="H31" s="264">
        <v>2653330.8333333335</v>
      </c>
      <c r="I31" s="264">
        <v>-709976.54433333315</v>
      </c>
      <c r="J31" s="264">
        <f t="shared" si="0"/>
        <v>6146340.2890000008</v>
      </c>
      <c r="K31" s="18"/>
      <c r="L31" s="18"/>
      <c r="M31" s="18"/>
    </row>
    <row r="32" spans="1:13" x14ac:dyDescent="0.2">
      <c r="A32" s="25"/>
      <c r="B32" s="312"/>
      <c r="C32" s="122" t="s">
        <v>195</v>
      </c>
      <c r="D32" s="259">
        <v>83322.315000000002</v>
      </c>
      <c r="E32" s="264">
        <v>2957624.166666667</v>
      </c>
      <c r="F32" s="264">
        <v>180842.5</v>
      </c>
      <c r="G32" s="264">
        <v>63913.333333333336</v>
      </c>
      <c r="H32" s="264">
        <v>2687942.5</v>
      </c>
      <c r="I32" s="264">
        <v>-708344.74366666679</v>
      </c>
      <c r="J32" s="264">
        <f t="shared" si="0"/>
        <v>5265300.0713333338</v>
      </c>
      <c r="K32" s="18"/>
      <c r="L32" s="18"/>
      <c r="M32" s="18"/>
    </row>
    <row r="33" spans="1:13" x14ac:dyDescent="0.2">
      <c r="A33" s="25"/>
      <c r="B33" s="312"/>
      <c r="C33" s="168" t="s">
        <v>196</v>
      </c>
      <c r="D33" s="260">
        <v>89373.881999999998</v>
      </c>
      <c r="E33" s="261">
        <v>2967104.166666667</v>
      </c>
      <c r="F33" s="261">
        <v>219035.83333333334</v>
      </c>
      <c r="G33" s="261">
        <v>59829.166666666672</v>
      </c>
      <c r="H33" s="261">
        <v>2729273.3333333335</v>
      </c>
      <c r="I33" s="261">
        <v>-757244.33866666711</v>
      </c>
      <c r="J33" s="261">
        <f t="shared" si="0"/>
        <v>5307372.0433333339</v>
      </c>
      <c r="K33" s="18"/>
      <c r="L33" s="18"/>
      <c r="M33" s="18"/>
    </row>
    <row r="34" spans="1:13" x14ac:dyDescent="0.2">
      <c r="A34" s="25"/>
      <c r="B34" s="312">
        <v>2011</v>
      </c>
      <c r="C34" s="262" t="s">
        <v>193</v>
      </c>
      <c r="D34" s="257">
        <v>89777.407000000007</v>
      </c>
      <c r="E34" s="263">
        <v>3300465.8333333335</v>
      </c>
      <c r="F34" s="263">
        <v>236772.5</v>
      </c>
      <c r="G34" s="263">
        <v>78939.166666666672</v>
      </c>
      <c r="H34" s="263">
        <v>2602507.5</v>
      </c>
      <c r="I34" s="263">
        <v>-741498.06666666677</v>
      </c>
      <c r="J34" s="263">
        <f t="shared" si="0"/>
        <v>5566964.3403333332</v>
      </c>
      <c r="K34" s="18"/>
      <c r="L34" s="18"/>
      <c r="M34" s="18"/>
    </row>
    <row r="35" spans="1:13" x14ac:dyDescent="0.2">
      <c r="A35" s="25"/>
      <c r="B35" s="312"/>
      <c r="C35" s="122" t="s">
        <v>194</v>
      </c>
      <c r="D35" s="259">
        <v>89667.123000000007</v>
      </c>
      <c r="E35" s="264">
        <v>3018437.5</v>
      </c>
      <c r="F35" s="264">
        <v>302705.83333333337</v>
      </c>
      <c r="G35" s="264">
        <v>89632.5</v>
      </c>
      <c r="H35" s="264">
        <v>2593193.3333333335</v>
      </c>
      <c r="I35" s="264">
        <v>-660817.5</v>
      </c>
      <c r="J35" s="264">
        <f t="shared" si="0"/>
        <v>5432818.7896666676</v>
      </c>
      <c r="K35" s="18"/>
      <c r="L35" s="18"/>
      <c r="M35" s="18"/>
    </row>
    <row r="36" spans="1:13" x14ac:dyDescent="0.2">
      <c r="A36" s="25"/>
      <c r="B36" s="312"/>
      <c r="C36" s="122" t="s">
        <v>195</v>
      </c>
      <c r="D36" s="259">
        <v>86821.675000000003</v>
      </c>
      <c r="E36" s="264">
        <v>2830612.5</v>
      </c>
      <c r="F36" s="264">
        <v>301326.66666666669</v>
      </c>
      <c r="G36" s="264">
        <v>86940</v>
      </c>
      <c r="H36" s="264">
        <v>2655067.5</v>
      </c>
      <c r="I36" s="264">
        <v>-799625.83333333337</v>
      </c>
      <c r="J36" s="264">
        <f t="shared" si="0"/>
        <v>5161142.5083333338</v>
      </c>
      <c r="K36" s="18"/>
      <c r="L36" s="18"/>
      <c r="M36" s="18"/>
    </row>
    <row r="37" spans="1:13" x14ac:dyDescent="0.2">
      <c r="A37" s="25"/>
      <c r="B37" s="312"/>
      <c r="C37" s="168" t="s">
        <v>196</v>
      </c>
      <c r="D37" s="260">
        <v>94635.178</v>
      </c>
      <c r="E37" s="261">
        <v>2352110.8333333335</v>
      </c>
      <c r="F37" s="261">
        <v>293668.33333333337</v>
      </c>
      <c r="G37" s="261">
        <v>88570</v>
      </c>
      <c r="H37" s="261">
        <v>2724250.8333333335</v>
      </c>
      <c r="I37" s="261">
        <v>-800350</v>
      </c>
      <c r="J37" s="261">
        <f t="shared" si="0"/>
        <v>4752885.1780000003</v>
      </c>
      <c r="K37" s="18"/>
      <c r="L37" s="18"/>
      <c r="M37" s="18"/>
    </row>
    <row r="38" spans="1:13" x14ac:dyDescent="0.2">
      <c r="A38" s="25"/>
      <c r="B38" s="312">
        <v>2012</v>
      </c>
      <c r="C38" s="262" t="s">
        <v>193</v>
      </c>
      <c r="D38" s="257">
        <v>90291.547999999995</v>
      </c>
      <c r="E38" s="263">
        <v>2641666.666666667</v>
      </c>
      <c r="F38" s="263">
        <v>288100.83333333337</v>
      </c>
      <c r="G38" s="263">
        <v>91946.666666666672</v>
      </c>
      <c r="H38" s="263">
        <v>2701511.666666667</v>
      </c>
      <c r="I38" s="263">
        <v>-638688.33333333337</v>
      </c>
      <c r="J38" s="263">
        <f t="shared" si="0"/>
        <v>5174829.0480000013</v>
      </c>
      <c r="K38" s="18"/>
      <c r="L38" s="18"/>
      <c r="M38" s="18"/>
    </row>
    <row r="39" spans="1:13" x14ac:dyDescent="0.2">
      <c r="A39" s="25"/>
      <c r="B39" s="312"/>
      <c r="C39" s="122" t="s">
        <v>194</v>
      </c>
      <c r="D39" s="259">
        <v>93492.849000000002</v>
      </c>
      <c r="E39" s="264">
        <v>2745956.666666667</v>
      </c>
      <c r="F39" s="264">
        <v>285437.5</v>
      </c>
      <c r="G39" s="264">
        <v>89191.666666666672</v>
      </c>
      <c r="H39" s="264">
        <v>2697585</v>
      </c>
      <c r="I39" s="264">
        <v>-614727.5</v>
      </c>
      <c r="J39" s="264">
        <f t="shared" si="0"/>
        <v>5296936.1823333334</v>
      </c>
      <c r="K39" s="18"/>
      <c r="L39" s="18"/>
      <c r="M39" s="18"/>
    </row>
    <row r="40" spans="1:13" x14ac:dyDescent="0.2">
      <c r="A40" s="25"/>
      <c r="B40" s="312"/>
      <c r="C40" s="122" t="s">
        <v>195</v>
      </c>
      <c r="D40" s="259">
        <v>91803.201000000001</v>
      </c>
      <c r="E40" s="264">
        <v>2602755</v>
      </c>
      <c r="F40" s="264">
        <v>280437.5</v>
      </c>
      <c r="G40" s="264">
        <v>86091.666666666672</v>
      </c>
      <c r="H40" s="264">
        <v>2696882.5</v>
      </c>
      <c r="I40" s="264">
        <v>-808489.16666666674</v>
      </c>
      <c r="J40" s="264">
        <f t="shared" si="0"/>
        <v>4949480.7009999994</v>
      </c>
      <c r="K40" s="18"/>
      <c r="L40" s="18"/>
      <c r="M40" s="18"/>
    </row>
    <row r="41" spans="1:13" x14ac:dyDescent="0.2">
      <c r="A41" s="25"/>
      <c r="B41" s="312"/>
      <c r="C41" s="168" t="s">
        <v>196</v>
      </c>
      <c r="D41" s="260">
        <v>99133.245999999999</v>
      </c>
      <c r="E41" s="261">
        <v>2702745.8333333335</v>
      </c>
      <c r="F41" s="261">
        <v>278317.5</v>
      </c>
      <c r="G41" s="261">
        <v>80395.833333333343</v>
      </c>
      <c r="H41" s="261">
        <v>2691864.166666667</v>
      </c>
      <c r="I41" s="261">
        <v>-603780.83333333337</v>
      </c>
      <c r="J41" s="261">
        <f t="shared" si="0"/>
        <v>5248675.7460000003</v>
      </c>
      <c r="K41" s="18"/>
      <c r="L41" s="18"/>
      <c r="M41" s="18"/>
    </row>
    <row r="42" spans="1:13" x14ac:dyDescent="0.2">
      <c r="A42" s="25"/>
      <c r="B42" s="312">
        <v>2013</v>
      </c>
      <c r="C42" s="262" t="s">
        <v>193</v>
      </c>
      <c r="D42" s="257">
        <v>94280.828999999998</v>
      </c>
      <c r="E42" s="263">
        <v>2985774.166666667</v>
      </c>
      <c r="F42" s="263">
        <v>283328.33333333337</v>
      </c>
      <c r="G42" s="263">
        <v>71635</v>
      </c>
      <c r="H42" s="263">
        <v>2651674.166666667</v>
      </c>
      <c r="I42" s="263">
        <v>-555883.33333333337</v>
      </c>
      <c r="J42" s="263">
        <f t="shared" si="0"/>
        <v>5530809.1623333348</v>
      </c>
      <c r="K42" s="18"/>
      <c r="L42" s="18"/>
      <c r="M42" s="18"/>
    </row>
    <row r="43" spans="1:13" x14ac:dyDescent="0.2">
      <c r="A43" s="25"/>
      <c r="B43" s="312"/>
      <c r="C43" s="122" t="s">
        <v>194</v>
      </c>
      <c r="D43" s="259">
        <v>92168.726999999999</v>
      </c>
      <c r="E43" s="264">
        <v>2721544.166666667</v>
      </c>
      <c r="F43" s="264">
        <v>282510</v>
      </c>
      <c r="G43" s="264">
        <v>69328.333333333343</v>
      </c>
      <c r="H43" s="264">
        <v>2628270</v>
      </c>
      <c r="I43" s="264">
        <v>-485151.41666666663</v>
      </c>
      <c r="J43" s="264">
        <f t="shared" si="0"/>
        <v>5308669.810333333</v>
      </c>
      <c r="K43" s="18"/>
      <c r="L43" s="18"/>
      <c r="M43" s="18"/>
    </row>
    <row r="44" spans="1:13" x14ac:dyDescent="0.2">
      <c r="A44" s="25"/>
      <c r="B44" s="312"/>
      <c r="C44" s="122" t="s">
        <v>195</v>
      </c>
      <c r="D44" s="259">
        <v>93735.305999999997</v>
      </c>
      <c r="E44" s="264">
        <v>2657129.166666667</v>
      </c>
      <c r="F44" s="264">
        <v>278535</v>
      </c>
      <c r="G44" s="264">
        <v>67393.333333333343</v>
      </c>
      <c r="H44" s="264">
        <v>2587407.5</v>
      </c>
      <c r="I44" s="264">
        <v>-418936.25</v>
      </c>
      <c r="J44" s="264">
        <f t="shared" si="0"/>
        <v>5265264.0559999999</v>
      </c>
      <c r="K44" s="18"/>
      <c r="L44" s="18"/>
      <c r="M44" s="18"/>
    </row>
    <row r="45" spans="1:13" x14ac:dyDescent="0.2">
      <c r="A45" s="25"/>
      <c r="B45" s="312"/>
      <c r="C45" s="168" t="s">
        <v>196</v>
      </c>
      <c r="D45" s="260">
        <v>101476.898</v>
      </c>
      <c r="E45" s="261">
        <v>3147835</v>
      </c>
      <c r="F45" s="261">
        <v>262695</v>
      </c>
      <c r="G45" s="261">
        <v>75223.333333333343</v>
      </c>
      <c r="H45" s="261">
        <v>2636772.5</v>
      </c>
      <c r="I45" s="261">
        <v>-335603.5</v>
      </c>
      <c r="J45" s="261">
        <f t="shared" si="0"/>
        <v>5888399.231333334</v>
      </c>
      <c r="K45" s="18"/>
      <c r="L45" s="18"/>
      <c r="M45" s="18"/>
    </row>
    <row r="46" spans="1:13" x14ac:dyDescent="0.2">
      <c r="A46" s="25"/>
      <c r="B46" s="312">
        <v>2014</v>
      </c>
      <c r="C46" s="262" t="s">
        <v>193</v>
      </c>
      <c r="D46" s="257">
        <v>96994.873000000007</v>
      </c>
      <c r="E46" s="263">
        <v>3045282.5</v>
      </c>
      <c r="F46" s="263">
        <v>258850</v>
      </c>
      <c r="G46" s="263">
        <v>73716.666666666672</v>
      </c>
      <c r="H46" s="263">
        <v>2624563.3333333335</v>
      </c>
      <c r="I46" s="263">
        <v>-448499.16666666669</v>
      </c>
      <c r="J46" s="263">
        <f t="shared" si="0"/>
        <v>5650908.2063333327</v>
      </c>
      <c r="K46" s="18"/>
      <c r="L46" s="18"/>
      <c r="M46" s="18"/>
    </row>
    <row r="47" spans="1:13" x14ac:dyDescent="0.2">
      <c r="A47" s="25"/>
      <c r="B47" s="312"/>
      <c r="C47" s="122" t="s">
        <v>194</v>
      </c>
      <c r="D47" s="259">
        <v>97109.331999999995</v>
      </c>
      <c r="E47" s="264">
        <v>2700652.5</v>
      </c>
      <c r="F47" s="264">
        <v>264163.33333333337</v>
      </c>
      <c r="G47" s="264">
        <v>62922.5</v>
      </c>
      <c r="H47" s="264">
        <v>2666935</v>
      </c>
      <c r="I47" s="264">
        <v>-433827.5</v>
      </c>
      <c r="J47" s="264">
        <f t="shared" si="0"/>
        <v>5357955.1653333334</v>
      </c>
      <c r="K47" s="18"/>
      <c r="L47" s="18"/>
      <c r="M47" s="18"/>
    </row>
    <row r="48" spans="1:13" x14ac:dyDescent="0.2">
      <c r="A48" s="25"/>
      <c r="B48" s="312"/>
      <c r="C48" s="122" t="s">
        <v>195</v>
      </c>
      <c r="D48" s="259">
        <v>95469.922000000006</v>
      </c>
      <c r="E48" s="264">
        <v>2510740.8333333335</v>
      </c>
      <c r="F48" s="264">
        <v>250426.66666666669</v>
      </c>
      <c r="G48" s="264">
        <v>71960</v>
      </c>
      <c r="H48" s="264">
        <v>2688485</v>
      </c>
      <c r="I48" s="264">
        <v>-476775</v>
      </c>
      <c r="J48" s="264">
        <f t="shared" si="0"/>
        <v>5140307.4220000003</v>
      </c>
      <c r="K48" s="18"/>
      <c r="L48" s="18"/>
      <c r="M48" s="18"/>
    </row>
    <row r="49" spans="1:13" x14ac:dyDescent="0.2">
      <c r="A49" s="25"/>
      <c r="B49" s="312"/>
      <c r="C49" s="168" t="s">
        <v>196</v>
      </c>
      <c r="D49" s="260">
        <v>100243.712</v>
      </c>
      <c r="E49" s="261">
        <v>2181505.8333333335</v>
      </c>
      <c r="F49" s="261">
        <v>243614.16666666669</v>
      </c>
      <c r="G49" s="261">
        <v>70134.166666666672</v>
      </c>
      <c r="H49" s="261">
        <v>2657484.166666667</v>
      </c>
      <c r="I49" s="261">
        <v>-320585.83333333337</v>
      </c>
      <c r="J49" s="261">
        <f t="shared" si="0"/>
        <v>4932396.2120000003</v>
      </c>
      <c r="K49" s="18"/>
      <c r="L49" s="18"/>
      <c r="M49" s="18"/>
    </row>
    <row r="50" spans="1:13" x14ac:dyDescent="0.2">
      <c r="A50" s="25"/>
      <c r="B50" s="312">
        <v>2015</v>
      </c>
      <c r="C50" s="262" t="s">
        <v>193</v>
      </c>
      <c r="D50" s="257">
        <v>98775.788</v>
      </c>
      <c r="E50" s="263">
        <v>2203230</v>
      </c>
      <c r="F50" s="263">
        <v>242012.5</v>
      </c>
      <c r="G50" s="263">
        <v>71084.166666666672</v>
      </c>
      <c r="H50" s="263">
        <v>2602773.3333333335</v>
      </c>
      <c r="I50" s="263">
        <v>-310603.33333333337</v>
      </c>
      <c r="J50" s="263">
        <f t="shared" si="0"/>
        <v>4907272.4546666676</v>
      </c>
      <c r="K50" s="18"/>
      <c r="L50" s="18"/>
      <c r="M50" s="18"/>
    </row>
    <row r="51" spans="1:13" x14ac:dyDescent="0.2">
      <c r="A51" s="25"/>
      <c r="B51" s="312"/>
      <c r="C51" s="122" t="s">
        <v>194</v>
      </c>
      <c r="D51" s="259">
        <v>99812.597240000003</v>
      </c>
      <c r="E51" s="264">
        <v>2252625</v>
      </c>
      <c r="F51" s="264">
        <v>237065</v>
      </c>
      <c r="G51" s="264">
        <v>76145.833333333343</v>
      </c>
      <c r="H51" s="264">
        <v>2632825</v>
      </c>
      <c r="I51" s="264">
        <v>-282066.30166666664</v>
      </c>
      <c r="J51" s="264">
        <f t="shared" si="0"/>
        <v>5016407.1289066663</v>
      </c>
      <c r="K51" s="18"/>
      <c r="L51" s="18"/>
      <c r="M51" s="18"/>
    </row>
    <row r="52" spans="1:13" x14ac:dyDescent="0.2">
      <c r="A52" s="25"/>
      <c r="B52" s="312"/>
      <c r="C52" s="122" t="s">
        <v>195</v>
      </c>
      <c r="D52" s="259">
        <v>104256.88400000001</v>
      </c>
      <c r="E52" s="264">
        <v>3101693.3333333335</v>
      </c>
      <c r="F52" s="264">
        <v>234795</v>
      </c>
      <c r="G52" s="264">
        <v>76303.333333333343</v>
      </c>
      <c r="H52" s="264">
        <v>2697831.666666667</v>
      </c>
      <c r="I52" s="264">
        <v>-760676.66666666674</v>
      </c>
      <c r="J52" s="264">
        <f t="shared" si="0"/>
        <v>5454203.5506666666</v>
      </c>
      <c r="K52" s="18"/>
      <c r="L52" s="18"/>
      <c r="M52" s="18"/>
    </row>
    <row r="53" spans="1:13" x14ac:dyDescent="0.2">
      <c r="A53" s="25"/>
      <c r="B53" s="312"/>
      <c r="C53" s="168" t="s">
        <v>196</v>
      </c>
      <c r="D53" s="260">
        <v>110803.60500000001</v>
      </c>
      <c r="E53" s="261">
        <v>3684633.3333333335</v>
      </c>
      <c r="F53" s="261">
        <v>226475</v>
      </c>
      <c r="G53" s="261">
        <v>70036.666666666672</v>
      </c>
      <c r="H53" s="261">
        <v>2684706.666666667</v>
      </c>
      <c r="I53" s="261">
        <v>-878694.87933333346</v>
      </c>
      <c r="J53" s="261">
        <f t="shared" si="0"/>
        <v>5897960.3923333334</v>
      </c>
      <c r="K53" s="18"/>
      <c r="L53" s="18"/>
      <c r="M53" s="18"/>
    </row>
    <row r="54" spans="1:13" x14ac:dyDescent="0.2">
      <c r="A54" s="25"/>
      <c r="B54" s="312">
        <v>2016</v>
      </c>
      <c r="C54" s="262" t="s">
        <v>193</v>
      </c>
      <c r="D54" s="257">
        <v>108195.675</v>
      </c>
      <c r="E54" s="263">
        <v>4006320.833333334</v>
      </c>
      <c r="F54" s="263">
        <v>224310</v>
      </c>
      <c r="G54" s="263">
        <v>68988.333333333343</v>
      </c>
      <c r="H54" s="263">
        <v>2661350</v>
      </c>
      <c r="I54" s="263">
        <v>-950835.88533333316</v>
      </c>
      <c r="J54" s="263">
        <v>6118328.9563333336</v>
      </c>
      <c r="K54" s="18"/>
      <c r="L54" s="18"/>
      <c r="M54" s="18"/>
    </row>
    <row r="55" spans="1:13" x14ac:dyDescent="0.2">
      <c r="A55" s="25"/>
      <c r="B55" s="312"/>
      <c r="C55" s="122" t="s">
        <v>194</v>
      </c>
      <c r="D55" s="259">
        <v>112913.70699999999</v>
      </c>
      <c r="E55" s="264">
        <v>3716890.833333334</v>
      </c>
      <c r="F55" s="264">
        <v>222240</v>
      </c>
      <c r="G55" s="264">
        <v>66406.666666666672</v>
      </c>
      <c r="H55" s="264">
        <v>2694503.3333333335</v>
      </c>
      <c r="I55" s="264">
        <v>-911710.57233333401</v>
      </c>
      <c r="J55" s="264">
        <v>5901243.9680000003</v>
      </c>
      <c r="K55" s="18"/>
      <c r="L55" s="18"/>
      <c r="M55" s="18"/>
    </row>
    <row r="56" spans="1:13" x14ac:dyDescent="0.2">
      <c r="A56" s="25"/>
      <c r="B56" s="312"/>
      <c r="C56" s="122" t="s">
        <v>195</v>
      </c>
      <c r="D56" s="259">
        <v>115407.94699999999</v>
      </c>
      <c r="E56" s="264">
        <v>3664515.0000000005</v>
      </c>
      <c r="F56" s="264">
        <v>211476.66666666669</v>
      </c>
      <c r="G56" s="264">
        <v>83112.5</v>
      </c>
      <c r="H56" s="264">
        <v>2771814.166666667</v>
      </c>
      <c r="I56" s="264">
        <v>-1025977.1485233338</v>
      </c>
      <c r="J56" s="264">
        <v>5820349.1318100011</v>
      </c>
      <c r="K56" s="18"/>
      <c r="L56" s="18"/>
      <c r="M56" s="18"/>
    </row>
    <row r="57" spans="1:13" x14ac:dyDescent="0.2">
      <c r="A57" s="25"/>
      <c r="B57" s="312"/>
      <c r="C57" s="168" t="s">
        <v>196</v>
      </c>
      <c r="D57" s="260">
        <v>122210.798</v>
      </c>
      <c r="E57" s="261">
        <v>3760776.6666666665</v>
      </c>
      <c r="F57" s="261">
        <v>210950.83333333334</v>
      </c>
      <c r="G57" s="261">
        <v>63962.5</v>
      </c>
      <c r="H57" s="261">
        <v>2808971.666666667</v>
      </c>
      <c r="I57" s="261">
        <v>-811587.09066666744</v>
      </c>
      <c r="J57" s="261">
        <v>6155285.3739999989</v>
      </c>
      <c r="K57" s="18"/>
      <c r="L57" s="18"/>
      <c r="M57" s="18"/>
    </row>
    <row r="58" spans="1:13" x14ac:dyDescent="0.2">
      <c r="A58" s="25"/>
      <c r="B58" s="312">
        <v>2017</v>
      </c>
      <c r="C58" s="262" t="s">
        <v>193</v>
      </c>
      <c r="D58" s="257">
        <v>116428.996</v>
      </c>
      <c r="E58" s="263">
        <v>4150978.3333333335</v>
      </c>
      <c r="F58" s="263">
        <v>207280</v>
      </c>
      <c r="G58" s="263">
        <v>55531.666666666701</v>
      </c>
      <c r="H58" s="263">
        <v>2694545.0095090698</v>
      </c>
      <c r="I58" s="263">
        <v>-967171.47169906949</v>
      </c>
      <c r="J58" s="263">
        <v>6257592.5338100009</v>
      </c>
      <c r="K58" s="18"/>
      <c r="L58" s="18"/>
      <c r="M58" s="18"/>
    </row>
    <row r="59" spans="1:13" x14ac:dyDescent="0.2">
      <c r="A59" s="25"/>
      <c r="B59" s="312"/>
      <c r="C59" s="122" t="s">
        <v>194</v>
      </c>
      <c r="D59" s="259">
        <v>119562.95699999999</v>
      </c>
      <c r="E59" s="264">
        <v>4245168.3333333321</v>
      </c>
      <c r="F59" s="264">
        <v>197975.83333333299</v>
      </c>
      <c r="G59" s="264">
        <v>63291.666666666701</v>
      </c>
      <c r="H59" s="264">
        <v>2689954.1678423998</v>
      </c>
      <c r="I59" s="264">
        <v>-852697.29503240122</v>
      </c>
      <c r="J59" s="264">
        <v>6463255.6631433303</v>
      </c>
      <c r="K59" s="18"/>
      <c r="L59" s="18"/>
      <c r="M59" s="18"/>
    </row>
    <row r="60" spans="1:13" x14ac:dyDescent="0.2">
      <c r="A60" s="25"/>
      <c r="B60" s="312"/>
      <c r="C60" s="122" t="s">
        <v>195</v>
      </c>
      <c r="D60" s="259">
        <v>118879.319</v>
      </c>
      <c r="E60" s="264">
        <v>4358949.166666667</v>
      </c>
      <c r="F60" s="264">
        <v>185775.83333333299</v>
      </c>
      <c r="G60" s="264">
        <v>53362.5</v>
      </c>
      <c r="H60" s="264">
        <v>2759591.6666666698</v>
      </c>
      <c r="I60" s="264">
        <v>-976423.5963333362</v>
      </c>
      <c r="J60" s="264">
        <v>6500134.8893333338</v>
      </c>
      <c r="K60" s="18"/>
      <c r="L60" s="18"/>
      <c r="M60" s="18"/>
    </row>
    <row r="61" spans="1:13" x14ac:dyDescent="0.2">
      <c r="B61" s="312"/>
      <c r="C61" s="168" t="s">
        <v>196</v>
      </c>
      <c r="D61" s="260">
        <v>126617.673</v>
      </c>
      <c r="E61" s="261">
        <v>4827933.3333333321</v>
      </c>
      <c r="F61" s="261">
        <v>182834.16666666701</v>
      </c>
      <c r="G61" s="261">
        <v>55531.666666666701</v>
      </c>
      <c r="H61" s="261">
        <v>2950177.5</v>
      </c>
      <c r="I61" s="261">
        <v>-857235.18518999848</v>
      </c>
      <c r="J61" s="261">
        <v>7285859.1544766678</v>
      </c>
    </row>
    <row r="62" spans="1:13" x14ac:dyDescent="0.2">
      <c r="B62" s="312">
        <v>2018</v>
      </c>
      <c r="C62" s="262" t="s">
        <v>193</v>
      </c>
      <c r="D62" s="257">
        <v>124125.44099999999</v>
      </c>
      <c r="E62" s="263">
        <v>4731854.166666667</v>
      </c>
      <c r="F62" s="263">
        <v>172559.16666666669</v>
      </c>
      <c r="G62" s="263">
        <v>55866.666666666672</v>
      </c>
      <c r="H62" s="263">
        <v>3144845</v>
      </c>
      <c r="I62" s="263">
        <v>-1017032.7576666659</v>
      </c>
      <c r="J62" s="263">
        <v>7212217.6833333345</v>
      </c>
    </row>
    <row r="63" spans="1:13" x14ac:dyDescent="0.2">
      <c r="B63" s="312"/>
      <c r="C63" s="122" t="s">
        <v>194</v>
      </c>
      <c r="D63" s="259">
        <v>125078.16232</v>
      </c>
      <c r="E63" s="264">
        <v>3954889.998333334</v>
      </c>
      <c r="F63" s="264">
        <v>169995.06250000003</v>
      </c>
      <c r="G63" s="264">
        <v>52043.576666666668</v>
      </c>
      <c r="H63" s="264">
        <v>3469856.666666667</v>
      </c>
      <c r="I63" s="264">
        <v>-1083587.996903335</v>
      </c>
      <c r="J63" s="264">
        <v>6688275.4695833325</v>
      </c>
    </row>
    <row r="64" spans="1:13" x14ac:dyDescent="0.2">
      <c r="B64" s="312"/>
      <c r="C64" s="122" t="s">
        <v>195</v>
      </c>
      <c r="D64" s="259">
        <v>124534.61900000001</v>
      </c>
      <c r="E64" s="264">
        <v>4450728.3333333321</v>
      </c>
      <c r="F64" s="264">
        <v>159720.83333333334</v>
      </c>
      <c r="G64" s="264">
        <v>53335</v>
      </c>
      <c r="H64" s="264">
        <v>3034915</v>
      </c>
      <c r="I64" s="264">
        <v>-1180545.5614166644</v>
      </c>
      <c r="J64" s="264">
        <v>6642688.2242500018</v>
      </c>
    </row>
    <row r="65" spans="2:12" x14ac:dyDescent="0.2">
      <c r="B65" s="312"/>
      <c r="C65" s="168" t="s">
        <v>196</v>
      </c>
      <c r="D65" s="260">
        <v>135807.45500000002</v>
      </c>
      <c r="E65" s="261">
        <v>5169259.166666667</v>
      </c>
      <c r="F65" s="261">
        <v>157157.5</v>
      </c>
      <c r="G65" s="261">
        <v>50066.666666666672</v>
      </c>
      <c r="H65" s="261">
        <v>2859100.8333333335</v>
      </c>
      <c r="I65" s="261">
        <v>-996902.64449999994</v>
      </c>
      <c r="J65" s="261">
        <v>7374488.9771666676</v>
      </c>
    </row>
    <row r="66" spans="2:12" x14ac:dyDescent="0.2">
      <c r="B66" s="312">
        <v>2019</v>
      </c>
      <c r="C66" s="262" t="s">
        <v>193</v>
      </c>
      <c r="D66" s="257">
        <v>133413.15599999999</v>
      </c>
      <c r="E66" s="263">
        <v>5332677.5000000019</v>
      </c>
      <c r="F66" s="263">
        <v>146881.66666666669</v>
      </c>
      <c r="G66" s="263">
        <v>52020.833333333336</v>
      </c>
      <c r="H66" s="263">
        <v>2926952.5</v>
      </c>
      <c r="I66" s="263">
        <v>-1240797.0376666673</v>
      </c>
      <c r="J66" s="263">
        <v>7351148.6183333332</v>
      </c>
    </row>
    <row r="67" spans="2:12" x14ac:dyDescent="0.2">
      <c r="B67" s="312"/>
      <c r="C67" s="122" t="s">
        <v>194</v>
      </c>
      <c r="D67" s="259">
        <v>136407.44000000003</v>
      </c>
      <c r="E67" s="264">
        <v>5420965.753816667</v>
      </c>
      <c r="F67" s="264">
        <v>144318.0625</v>
      </c>
      <c r="G67" s="264">
        <v>50524.6875</v>
      </c>
      <c r="H67" s="264">
        <v>2931097.8458333337</v>
      </c>
      <c r="I67" s="264">
        <v>-1286886.8387250002</v>
      </c>
      <c r="J67" s="264">
        <v>7396426.950925</v>
      </c>
    </row>
    <row r="68" spans="2:12" x14ac:dyDescent="0.2">
      <c r="B68" s="312"/>
      <c r="C68" s="122" t="s">
        <v>195</v>
      </c>
      <c r="D68" s="259">
        <v>135290.88</v>
      </c>
      <c r="E68" s="264">
        <v>5121960.6802416677</v>
      </c>
      <c r="F68" s="264">
        <v>134047.97333333333</v>
      </c>
      <c r="G68" s="264">
        <v>51823.560833333337</v>
      </c>
      <c r="H68" s="264">
        <v>2949616.22</v>
      </c>
      <c r="I68" s="264">
        <v>-1212609.2905333384</v>
      </c>
      <c r="J68" s="264">
        <v>7180130.023875</v>
      </c>
    </row>
    <row r="69" spans="2:12" x14ac:dyDescent="0.2">
      <c r="B69" s="312"/>
      <c r="C69" s="168" t="s">
        <v>196</v>
      </c>
      <c r="D69" s="260">
        <v>153763.30317500001</v>
      </c>
      <c r="E69" s="261">
        <v>5176736.6600249996</v>
      </c>
      <c r="F69" s="261">
        <v>230928.8066666667</v>
      </c>
      <c r="G69" s="261">
        <v>45054.5</v>
      </c>
      <c r="H69" s="261">
        <v>3024907.3233333337</v>
      </c>
      <c r="I69" s="261">
        <v>-1065198.8184166665</v>
      </c>
      <c r="J69" s="261">
        <v>7566191.7747833338</v>
      </c>
    </row>
    <row r="70" spans="2:12" x14ac:dyDescent="0.2">
      <c r="B70" s="312">
        <v>2020</v>
      </c>
      <c r="C70" s="262" t="s">
        <v>193</v>
      </c>
      <c r="D70" s="257">
        <v>165278.807</v>
      </c>
      <c r="E70" s="263">
        <v>4898521.6960333344</v>
      </c>
      <c r="F70" s="263">
        <v>218987.39</v>
      </c>
      <c r="G70" s="263">
        <v>55893.396841666668</v>
      </c>
      <c r="H70" s="263">
        <v>3130470.1519666668</v>
      </c>
      <c r="I70" s="263">
        <v>-1011654.8932416664</v>
      </c>
      <c r="J70" s="263">
        <v>7457496.5486000022</v>
      </c>
    </row>
    <row r="71" spans="2:12" x14ac:dyDescent="0.2">
      <c r="B71" s="312"/>
      <c r="C71" s="122" t="s">
        <v>194</v>
      </c>
      <c r="D71" s="259">
        <v>171441.58397500002</v>
      </c>
      <c r="E71" s="264">
        <v>5484907.8415083336</v>
      </c>
      <c r="F71" s="264">
        <v>214757.38999999998</v>
      </c>
      <c r="G71" s="264">
        <v>49374.756666666668</v>
      </c>
      <c r="H71" s="264">
        <v>3086744.2867583334</v>
      </c>
      <c r="I71" s="264">
        <v>-1029806.3793749998</v>
      </c>
      <c r="J71" s="264">
        <v>7977419.4795333333</v>
      </c>
      <c r="L71" s="264"/>
    </row>
    <row r="72" spans="2:12" x14ac:dyDescent="0.2">
      <c r="B72" s="312"/>
      <c r="C72" s="122" t="s">
        <v>195</v>
      </c>
      <c r="D72" s="259">
        <v>175257.07158333334</v>
      </c>
      <c r="E72" s="264">
        <v>5443003.6673666658</v>
      </c>
      <c r="F72" s="264">
        <v>202815.97333333336</v>
      </c>
      <c r="G72" s="264">
        <v>38570.669166666667</v>
      </c>
      <c r="H72" s="264">
        <v>3149645.3018999998</v>
      </c>
      <c r="I72" s="264">
        <v>-1104716.6959250008</v>
      </c>
      <c r="J72" s="264">
        <v>7904575.9874249976</v>
      </c>
    </row>
    <row r="73" spans="2:12" x14ac:dyDescent="0.2">
      <c r="B73" s="312"/>
      <c r="C73" s="168" t="s">
        <v>196</v>
      </c>
      <c r="D73" s="260">
        <v>181497.62875666667</v>
      </c>
      <c r="E73" s="261">
        <v>5708257.6357250018</v>
      </c>
      <c r="F73" s="261">
        <v>198581.31250000003</v>
      </c>
      <c r="G73" s="261">
        <v>38730.596666666672</v>
      </c>
      <c r="H73" s="261">
        <v>3195623.1803416666</v>
      </c>
      <c r="I73" s="261">
        <v>-1132914.6052650004</v>
      </c>
      <c r="J73" s="261">
        <v>8189775.7487250017</v>
      </c>
    </row>
    <row r="74" spans="2:12" x14ac:dyDescent="0.2">
      <c r="B74" s="312">
        <v>2021</v>
      </c>
      <c r="C74" s="262" t="s">
        <v>193</v>
      </c>
      <c r="D74" s="257">
        <v>174912.5704566667</v>
      </c>
      <c r="E74" s="263">
        <v>5730346.8441749988</v>
      </c>
      <c r="F74" s="263">
        <v>187039.90316666669</v>
      </c>
      <c r="G74" s="263">
        <v>37458.065833333334</v>
      </c>
      <c r="H74" s="263">
        <v>3239183.9876000001</v>
      </c>
      <c r="I74" s="263">
        <v>-982810.66290666477</v>
      </c>
      <c r="J74" s="263">
        <v>8386130.7083250014</v>
      </c>
    </row>
    <row r="75" spans="2:12" x14ac:dyDescent="0.2">
      <c r="B75" s="312"/>
      <c r="C75" s="122" t="s">
        <v>194</v>
      </c>
      <c r="D75" s="259">
        <v>179330.13200000001</v>
      </c>
      <c r="E75" s="264">
        <v>6187523.5017666677</v>
      </c>
      <c r="F75" s="264">
        <v>185588.17500000002</v>
      </c>
      <c r="G75" s="264">
        <v>35262.135000000002</v>
      </c>
      <c r="H75" s="264">
        <v>3323337.852775</v>
      </c>
      <c r="I75" s="264">
        <v>-1017474.5142083282</v>
      </c>
      <c r="J75" s="264">
        <v>8893567.2823333386</v>
      </c>
    </row>
    <row r="76" spans="2:12" x14ac:dyDescent="0.2">
      <c r="B76" s="312"/>
      <c r="C76" s="122" t="s">
        <v>195</v>
      </c>
      <c r="D76" s="259">
        <v>174698.97</v>
      </c>
      <c r="E76" s="264">
        <v>5639748.030716667</v>
      </c>
      <c r="F76" s="264">
        <v>179388.18625</v>
      </c>
      <c r="G76" s="264">
        <v>34605.80266666667</v>
      </c>
      <c r="H76" s="264">
        <v>3436153.6842</v>
      </c>
      <c r="I76" s="264">
        <v>-1029815.4660916659</v>
      </c>
      <c r="J76" s="264">
        <v>8434779.2077416666</v>
      </c>
    </row>
    <row r="77" spans="2:12" x14ac:dyDescent="0.2">
      <c r="B77" s="312"/>
      <c r="C77" s="168" t="s">
        <v>196</v>
      </c>
      <c r="D77" s="260">
        <v>192764.38500000001</v>
      </c>
      <c r="E77" s="261">
        <v>5814372.7175416676</v>
      </c>
      <c r="F77" s="261">
        <v>175558.40093333332</v>
      </c>
      <c r="G77" s="261">
        <v>29745.413333333334</v>
      </c>
      <c r="H77" s="261">
        <v>3474390.9720416665</v>
      </c>
      <c r="I77" s="261">
        <v>-1026664.4121833352</v>
      </c>
      <c r="J77" s="261">
        <v>8660167.4766666647</v>
      </c>
    </row>
    <row r="78" spans="2:12" x14ac:dyDescent="0.2">
      <c r="B78" s="312">
        <v>2022</v>
      </c>
      <c r="C78" s="262" t="s">
        <v>193</v>
      </c>
      <c r="D78" s="257">
        <v>181922.315</v>
      </c>
      <c r="E78" s="263">
        <v>5580965.146641667</v>
      </c>
      <c r="F78" s="263">
        <v>164016.98333333334</v>
      </c>
      <c r="G78" s="263">
        <v>26249.21</v>
      </c>
      <c r="H78" s="263">
        <v>3566368.4288583333</v>
      </c>
      <c r="I78" s="263">
        <v>-962059.05892500153</v>
      </c>
      <c r="J78" s="263">
        <v>8557463.0249083303</v>
      </c>
    </row>
    <row r="79" spans="2:12" x14ac:dyDescent="0.2">
      <c r="B79" s="312"/>
      <c r="C79" s="122" t="s">
        <v>194</v>
      </c>
      <c r="D79" s="259">
        <v>182669.55100000001</v>
      </c>
      <c r="E79" s="264">
        <v>5698009.1876333337</v>
      </c>
      <c r="F79" s="264">
        <v>432221.97544166667</v>
      </c>
      <c r="G79" s="264">
        <v>23551.276666666668</v>
      </c>
      <c r="H79" s="264">
        <v>3621273.5532083334</v>
      </c>
      <c r="I79" s="264">
        <v>-1034995.5697500008</v>
      </c>
      <c r="J79" s="264">
        <v>8922729.9741999991</v>
      </c>
    </row>
    <row r="80" spans="2:12" x14ac:dyDescent="0.2">
      <c r="B80" s="312"/>
      <c r="C80" s="122" t="s">
        <v>195</v>
      </c>
      <c r="D80" s="259">
        <v>183947.94700000001</v>
      </c>
      <c r="E80" s="264">
        <v>5072358.9046666669</v>
      </c>
      <c r="F80" s="264">
        <v>415464.17790833331</v>
      </c>
      <c r="G80" s="264">
        <v>23198.109166666669</v>
      </c>
      <c r="H80" s="264">
        <v>3661761.3987249997</v>
      </c>
      <c r="I80" s="264">
        <v>-936357.02094999899</v>
      </c>
      <c r="J80" s="264">
        <v>8420373.5165166669</v>
      </c>
    </row>
    <row r="81" spans="2:10" x14ac:dyDescent="0.2">
      <c r="B81" s="312"/>
      <c r="C81" s="168" t="s">
        <v>196</v>
      </c>
      <c r="D81" s="260">
        <v>188929.54199999999</v>
      </c>
      <c r="E81" s="261">
        <v>5221863.5870916648</v>
      </c>
      <c r="F81" s="261">
        <v>407031.09105000005</v>
      </c>
      <c r="G81" s="261">
        <v>20731.318750000002</v>
      </c>
      <c r="H81" s="261">
        <v>3627899.3569916673</v>
      </c>
      <c r="I81" s="261">
        <v>-929490.93703333428</v>
      </c>
      <c r="J81" s="261">
        <v>8537049.6658499986</v>
      </c>
    </row>
    <row r="82" spans="2:10" x14ac:dyDescent="0.2">
      <c r="B82" s="312">
        <v>2023</v>
      </c>
      <c r="C82" s="262" t="s">
        <v>193</v>
      </c>
      <c r="D82" s="257">
        <v>177237.37299999999</v>
      </c>
      <c r="E82" s="263">
        <v>5102726.7681083344</v>
      </c>
      <c r="F82" s="263">
        <v>389736.63605000003</v>
      </c>
      <c r="G82" s="263">
        <v>20568.849441666669</v>
      </c>
      <c r="H82" s="263">
        <v>3601832.2958833338</v>
      </c>
      <c r="I82" s="263">
        <v>-982810.44187500014</v>
      </c>
      <c r="J82" s="263">
        <v>8309291.4806083357</v>
      </c>
    </row>
    <row r="83" spans="2:10" x14ac:dyDescent="0.2">
      <c r="B83" s="312"/>
      <c r="C83" s="122" t="s">
        <v>194</v>
      </c>
      <c r="D83" s="259">
        <v>179511.93599999999</v>
      </c>
      <c r="E83" s="264">
        <v>5373799.8999333344</v>
      </c>
      <c r="F83" s="264">
        <v>412048.37890000001</v>
      </c>
      <c r="G83" s="264">
        <v>17682.210491666669</v>
      </c>
      <c r="H83" s="264">
        <v>3652049.3482333338</v>
      </c>
      <c r="I83" s="264">
        <v>-1109139.0405249987</v>
      </c>
      <c r="J83" s="264">
        <v>8525952.7330333367</v>
      </c>
    </row>
    <row r="84" spans="2:10" x14ac:dyDescent="0.2">
      <c r="B84" s="312"/>
      <c r="C84" s="122" t="s">
        <v>195</v>
      </c>
      <c r="D84" s="259">
        <v>176868.17200000002</v>
      </c>
      <c r="E84" s="264">
        <v>4912400.1146000009</v>
      </c>
      <c r="F84" s="264">
        <v>427844.82844166667</v>
      </c>
      <c r="G84" s="264">
        <v>17308.212116666669</v>
      </c>
      <c r="H84" s="264">
        <v>3772479.4189083329</v>
      </c>
      <c r="I84" s="264">
        <v>-1078848.933274999</v>
      </c>
      <c r="J84" s="264">
        <v>8228051.8127916679</v>
      </c>
    </row>
    <row r="85" spans="2:10" x14ac:dyDescent="0.2">
      <c r="B85" s="312"/>
      <c r="C85" s="168" t="s">
        <v>196</v>
      </c>
      <c r="D85" s="260">
        <v>196091.992</v>
      </c>
      <c r="E85" s="261">
        <v>4994406.1308416668</v>
      </c>
      <c r="F85" s="261">
        <v>420350.50192499999</v>
      </c>
      <c r="G85" s="261">
        <v>15389.635016666669</v>
      </c>
      <c r="H85" s="261">
        <v>3800095.5112250005</v>
      </c>
      <c r="I85" s="261">
        <v>-951890.136316663</v>
      </c>
      <c r="J85" s="261">
        <v>8474443.6346916705</v>
      </c>
    </row>
    <row r="86" spans="2:10" x14ac:dyDescent="0.2">
      <c r="B86" s="265"/>
      <c r="C86" s="122"/>
      <c r="D86" s="264"/>
      <c r="E86" s="264"/>
      <c r="F86" s="264"/>
      <c r="G86" s="264"/>
      <c r="H86" s="264"/>
      <c r="I86" s="264"/>
      <c r="J86" s="264"/>
    </row>
    <row r="87" spans="2:10" x14ac:dyDescent="0.2">
      <c r="B87" s="265"/>
      <c r="C87" s="122"/>
      <c r="D87" s="264"/>
      <c r="E87" s="264"/>
      <c r="F87" s="264"/>
      <c r="G87" s="264"/>
      <c r="H87" s="264"/>
      <c r="I87" s="264"/>
      <c r="J87" s="264"/>
    </row>
    <row r="88" spans="2:10" x14ac:dyDescent="0.2">
      <c r="B88" s="129" t="s">
        <v>222</v>
      </c>
    </row>
    <row r="92" spans="2:10" x14ac:dyDescent="0.2">
      <c r="G92" s="17">
        <v>1000</v>
      </c>
    </row>
  </sheetData>
  <mergeCells count="26">
    <mergeCell ref="B82:B85"/>
    <mergeCell ref="I11:I12"/>
    <mergeCell ref="D13:J13"/>
    <mergeCell ref="B74:B77"/>
    <mergeCell ref="B70:B73"/>
    <mergeCell ref="B78:B81"/>
    <mergeCell ref="B18:B21"/>
    <mergeCell ref="B22:B25"/>
    <mergeCell ref="B66:B69"/>
    <mergeCell ref="F11:H11"/>
    <mergeCell ref="C7:J7"/>
    <mergeCell ref="B38:B41"/>
    <mergeCell ref="B42:B45"/>
    <mergeCell ref="B46:B49"/>
    <mergeCell ref="B62:B65"/>
    <mergeCell ref="B58:B61"/>
    <mergeCell ref="B50:B53"/>
    <mergeCell ref="B54:B57"/>
    <mergeCell ref="D9:J9"/>
    <mergeCell ref="J10:J12"/>
    <mergeCell ref="B26:B29"/>
    <mergeCell ref="B30:B33"/>
    <mergeCell ref="B34:B37"/>
    <mergeCell ref="B14:B17"/>
    <mergeCell ref="F10:I10"/>
    <mergeCell ref="D10:E11"/>
  </mergeCells>
  <pageMargins left="0.7" right="0.7" top="0.75" bottom="0.75" header="0.3" footer="0.3"/>
  <pageSetup scale="64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4481" r:id="rId4">
          <objectPr defaultSize="0" autoPict="0" r:id="rId5">
            <anchor moveWithCells="1" sizeWithCells="1">
              <from>
                <xdr:col>0</xdr:col>
                <xdr:colOff>57150</xdr:colOff>
                <xdr:row>1</xdr:row>
                <xdr:rowOff>38100</xdr:rowOff>
              </from>
              <to>
                <xdr:col>1</xdr:col>
                <xdr:colOff>438150</xdr:colOff>
                <xdr:row>4</xdr:row>
                <xdr:rowOff>0</xdr:rowOff>
              </to>
            </anchor>
          </objectPr>
        </oleObject>
      </mc:Choice>
      <mc:Fallback>
        <oleObject progId="MSPhotoEd.3" shapeId="40448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63"/>
  <sheetViews>
    <sheetView zoomScaleNormal="100" workbookViewId="0">
      <pane ySplit="13" topLeftCell="A14" activePane="bottomLeft" state="frozen"/>
      <selection pane="bottomLeft" activeCell="N18" sqref="N18"/>
    </sheetView>
  </sheetViews>
  <sheetFormatPr defaultRowHeight="12.75" x14ac:dyDescent="0.2"/>
  <cols>
    <col min="1" max="3" width="9.140625" style="17"/>
    <col min="4" max="4" width="11.5703125" style="17" customWidth="1"/>
    <col min="5" max="5" width="10.5703125" style="17" customWidth="1"/>
    <col min="6" max="6" width="10.85546875" style="17" customWidth="1"/>
    <col min="7" max="7" width="11.140625" style="17" customWidth="1"/>
    <col min="8" max="8" width="15" style="17" customWidth="1"/>
    <col min="9" max="9" width="11.140625" style="17" customWidth="1"/>
    <col min="10" max="11" width="10.42578125" style="17" bestFit="1" customWidth="1"/>
    <col min="12" max="16384" width="9.140625" style="17"/>
  </cols>
  <sheetData>
    <row r="2" spans="1:11" x14ac:dyDescent="0.2">
      <c r="H2" s="140" t="s">
        <v>253</v>
      </c>
    </row>
    <row r="7" spans="1:11" ht="15.75" x14ac:dyDescent="0.25">
      <c r="B7" s="144" t="s">
        <v>225</v>
      </c>
      <c r="C7" s="311" t="s">
        <v>259</v>
      </c>
      <c r="D7" s="311"/>
      <c r="E7" s="311"/>
      <c r="F7" s="311"/>
      <c r="G7" s="311"/>
      <c r="H7" s="311"/>
      <c r="I7" s="311"/>
      <c r="J7" s="220"/>
    </row>
    <row r="8" spans="1:11" x14ac:dyDescent="0.2">
      <c r="B8" s="25"/>
      <c r="C8" s="25"/>
    </row>
    <row r="10" spans="1:11" x14ac:dyDescent="0.2">
      <c r="A10" s="25"/>
      <c r="D10" s="313" t="s">
        <v>199</v>
      </c>
      <c r="E10" s="314"/>
      <c r="F10" s="314"/>
      <c r="G10" s="314"/>
      <c r="H10" s="314"/>
      <c r="I10" s="315"/>
    </row>
    <row r="11" spans="1:11" x14ac:dyDescent="0.2">
      <c r="D11" s="320" t="s">
        <v>200</v>
      </c>
      <c r="E11" s="321"/>
      <c r="F11" s="320" t="s">
        <v>205</v>
      </c>
      <c r="G11" s="326"/>
      <c r="H11" s="326"/>
      <c r="I11" s="316" t="s">
        <v>22</v>
      </c>
    </row>
    <row r="12" spans="1:11" x14ac:dyDescent="0.2">
      <c r="D12" s="322"/>
      <c r="E12" s="323"/>
      <c r="F12" s="322"/>
      <c r="G12" s="327"/>
      <c r="H12" s="327"/>
      <c r="I12" s="317"/>
    </row>
    <row r="13" spans="1:11" ht="38.25" x14ac:dyDescent="0.2">
      <c r="D13" s="255" t="s">
        <v>23</v>
      </c>
      <c r="E13" s="255" t="s">
        <v>201</v>
      </c>
      <c r="F13" s="255" t="s">
        <v>202</v>
      </c>
      <c r="G13" s="255" t="s">
        <v>203</v>
      </c>
      <c r="H13" s="255" t="s">
        <v>204</v>
      </c>
      <c r="I13" s="318"/>
    </row>
    <row r="14" spans="1:11" x14ac:dyDescent="0.2">
      <c r="C14" s="256"/>
      <c r="D14" s="324" t="s">
        <v>198</v>
      </c>
      <c r="E14" s="324"/>
      <c r="F14" s="324"/>
      <c r="G14" s="324"/>
      <c r="H14" s="324"/>
      <c r="I14" s="324"/>
    </row>
    <row r="15" spans="1:11" x14ac:dyDescent="0.2">
      <c r="B15" s="325">
        <v>2013</v>
      </c>
      <c r="C15" s="262" t="s">
        <v>193</v>
      </c>
      <c r="D15" s="257">
        <v>89014.84</v>
      </c>
      <c r="E15" s="263">
        <v>391693.33333333337</v>
      </c>
      <c r="F15" s="263">
        <v>279467.5</v>
      </c>
      <c r="G15" s="263">
        <v>380061.66666666669</v>
      </c>
      <c r="H15" s="263">
        <v>4390571.666666667</v>
      </c>
      <c r="I15" s="263">
        <f t="shared" ref="I15:I34" si="0">SUM(D15:H15)</f>
        <v>5530809.0066666668</v>
      </c>
      <c r="J15" s="18"/>
      <c r="K15" s="18"/>
    </row>
    <row r="16" spans="1:11" x14ac:dyDescent="0.2">
      <c r="B16" s="325"/>
      <c r="C16" s="122" t="s">
        <v>194</v>
      </c>
      <c r="D16" s="259">
        <v>87228.986999999994</v>
      </c>
      <c r="E16" s="264">
        <v>444897.5</v>
      </c>
      <c r="F16" s="264">
        <v>271846.66666666669</v>
      </c>
      <c r="G16" s="264">
        <v>348155</v>
      </c>
      <c r="H16" s="264">
        <v>4156541.666666667</v>
      </c>
      <c r="I16" s="264">
        <f t="shared" si="0"/>
        <v>5308669.8203333337</v>
      </c>
      <c r="J16" s="18"/>
      <c r="K16" s="18"/>
    </row>
    <row r="17" spans="2:11" x14ac:dyDescent="0.2">
      <c r="B17" s="325"/>
      <c r="C17" s="122" t="s">
        <v>195</v>
      </c>
      <c r="D17" s="259">
        <v>88798.201000000001</v>
      </c>
      <c r="E17" s="264">
        <v>422332.5</v>
      </c>
      <c r="F17" s="264">
        <v>264407.5</v>
      </c>
      <c r="G17" s="264">
        <v>345059.16666666669</v>
      </c>
      <c r="H17" s="264">
        <v>4144666.666666667</v>
      </c>
      <c r="I17" s="264">
        <f t="shared" si="0"/>
        <v>5265264.0343333334</v>
      </c>
      <c r="J17" s="18"/>
      <c r="K17" s="18"/>
    </row>
    <row r="18" spans="2:11" x14ac:dyDescent="0.2">
      <c r="B18" s="325"/>
      <c r="C18" s="168" t="s">
        <v>196</v>
      </c>
      <c r="D18" s="260">
        <v>96176.724000000002</v>
      </c>
      <c r="E18" s="261">
        <v>403081.66666666669</v>
      </c>
      <c r="F18" s="261">
        <v>268218.33333333337</v>
      </c>
      <c r="G18" s="261">
        <v>339165.83333333337</v>
      </c>
      <c r="H18" s="261">
        <v>4781756.666666667</v>
      </c>
      <c r="I18" s="261">
        <f t="shared" si="0"/>
        <v>5888399.2240000004</v>
      </c>
      <c r="J18" s="18"/>
      <c r="K18" s="18"/>
    </row>
    <row r="19" spans="2:11" x14ac:dyDescent="0.2">
      <c r="B19" s="325">
        <v>2014</v>
      </c>
      <c r="C19" s="262" t="s">
        <v>193</v>
      </c>
      <c r="D19" s="257">
        <v>91720.222999999998</v>
      </c>
      <c r="E19" s="263">
        <v>447365.83333333337</v>
      </c>
      <c r="F19" s="263">
        <v>277409.16666666669</v>
      </c>
      <c r="G19" s="263">
        <v>419081.66666666669</v>
      </c>
      <c r="H19" s="263">
        <v>4415331.666666667</v>
      </c>
      <c r="I19" s="263">
        <f t="shared" si="0"/>
        <v>5650908.5563333333</v>
      </c>
      <c r="J19" s="18"/>
      <c r="K19" s="18"/>
    </row>
    <row r="20" spans="2:11" x14ac:dyDescent="0.2">
      <c r="B20" s="325"/>
      <c r="C20" s="122" t="s">
        <v>194</v>
      </c>
      <c r="D20" s="259">
        <v>91720.11</v>
      </c>
      <c r="E20" s="264">
        <v>457479.16666666669</v>
      </c>
      <c r="F20" s="264">
        <v>286904.16666666669</v>
      </c>
      <c r="G20" s="264">
        <v>401077.5</v>
      </c>
      <c r="H20" s="264">
        <v>4120774.166666667</v>
      </c>
      <c r="I20" s="264">
        <f t="shared" si="0"/>
        <v>5357955.1100000003</v>
      </c>
      <c r="J20" s="18"/>
      <c r="K20" s="18"/>
    </row>
    <row r="21" spans="2:11" x14ac:dyDescent="0.2">
      <c r="B21" s="325"/>
      <c r="C21" s="122" t="s">
        <v>195</v>
      </c>
      <c r="D21" s="259">
        <v>89496.654999999999</v>
      </c>
      <c r="E21" s="264">
        <v>420239.16666666669</v>
      </c>
      <c r="F21" s="264">
        <v>279714.16666666669</v>
      </c>
      <c r="G21" s="264">
        <v>401093.33333333337</v>
      </c>
      <c r="H21" s="264">
        <v>3949764.166666667</v>
      </c>
      <c r="I21" s="264">
        <f t="shared" si="0"/>
        <v>5140307.4883333333</v>
      </c>
      <c r="J21" s="18"/>
      <c r="K21" s="18"/>
    </row>
    <row r="22" spans="2:11" x14ac:dyDescent="0.2">
      <c r="B22" s="325"/>
      <c r="C22" s="168" t="s">
        <v>196</v>
      </c>
      <c r="D22" s="260">
        <v>95503.104000000007</v>
      </c>
      <c r="E22" s="261">
        <v>460587.5</v>
      </c>
      <c r="F22" s="261">
        <v>276093.33333333337</v>
      </c>
      <c r="G22" s="261">
        <v>376867.5</v>
      </c>
      <c r="H22" s="261">
        <v>3723344.166666667</v>
      </c>
      <c r="I22" s="261">
        <f t="shared" si="0"/>
        <v>4932395.6040000003</v>
      </c>
      <c r="J22" s="18"/>
      <c r="K22" s="18"/>
    </row>
    <row r="23" spans="2:11" x14ac:dyDescent="0.2">
      <c r="B23" s="325">
        <v>2015</v>
      </c>
      <c r="C23" s="262" t="s">
        <v>193</v>
      </c>
      <c r="D23" s="257">
        <v>92958.875</v>
      </c>
      <c r="E23" s="263">
        <v>477789.16666666669</v>
      </c>
      <c r="F23" s="263">
        <v>282445</v>
      </c>
      <c r="G23" s="263">
        <v>480488.33333333337</v>
      </c>
      <c r="H23" s="263">
        <v>3573590.8333333335</v>
      </c>
      <c r="I23" s="263">
        <f t="shared" si="0"/>
        <v>4907272.208333334</v>
      </c>
      <c r="J23" s="18"/>
      <c r="K23" s="18"/>
    </row>
    <row r="24" spans="2:11" x14ac:dyDescent="0.2">
      <c r="B24" s="325"/>
      <c r="C24" s="122" t="s">
        <v>194</v>
      </c>
      <c r="D24" s="259">
        <v>94887.129000000001</v>
      </c>
      <c r="E24" s="264">
        <v>487415</v>
      </c>
      <c r="F24" s="264">
        <v>286705.83333333337</v>
      </c>
      <c r="G24" s="264">
        <v>451686.66666666669</v>
      </c>
      <c r="H24" s="264">
        <v>3695712.5</v>
      </c>
      <c r="I24" s="264">
        <f t="shared" si="0"/>
        <v>5016407.1289999997</v>
      </c>
      <c r="J24" s="18"/>
      <c r="K24" s="18"/>
    </row>
    <row r="25" spans="2:11" x14ac:dyDescent="0.2">
      <c r="B25" s="325"/>
      <c r="C25" s="122" t="s">
        <v>195</v>
      </c>
      <c r="D25" s="259">
        <v>99743.339000000007</v>
      </c>
      <c r="E25" s="264">
        <v>457055</v>
      </c>
      <c r="F25" s="264">
        <v>291713.33333333337</v>
      </c>
      <c r="G25" s="264">
        <v>414801.66666666669</v>
      </c>
      <c r="H25" s="264">
        <v>4190890</v>
      </c>
      <c r="I25" s="264">
        <f t="shared" si="0"/>
        <v>5454203.3389999997</v>
      </c>
      <c r="J25" s="18"/>
      <c r="K25" s="18"/>
    </row>
    <row r="26" spans="2:11" x14ac:dyDescent="0.2">
      <c r="B26" s="325"/>
      <c r="C26" s="168" t="s">
        <v>196</v>
      </c>
      <c r="D26" s="260">
        <v>107707.05899999999</v>
      </c>
      <c r="E26" s="261">
        <v>505260</v>
      </c>
      <c r="F26" s="261">
        <v>304016.66666666669</v>
      </c>
      <c r="G26" s="261">
        <v>477547.5</v>
      </c>
      <c r="H26" s="261">
        <v>4503429.166666667</v>
      </c>
      <c r="I26" s="261">
        <f t="shared" si="0"/>
        <v>5897960.3923333334</v>
      </c>
      <c r="J26" s="18"/>
      <c r="K26" s="18"/>
    </row>
    <row r="27" spans="2:11" x14ac:dyDescent="0.2">
      <c r="B27" s="325">
        <v>2016</v>
      </c>
      <c r="C27" s="262" t="s">
        <v>193</v>
      </c>
      <c r="D27" s="257">
        <v>104708.12300000001</v>
      </c>
      <c r="E27" s="263">
        <v>533928.33333333302</v>
      </c>
      <c r="F27" s="263">
        <v>306228.33333333337</v>
      </c>
      <c r="G27" s="263">
        <v>487378.33333333337</v>
      </c>
      <c r="H27" s="263">
        <v>4686085.833333334</v>
      </c>
      <c r="I27" s="263">
        <f t="shared" si="0"/>
        <v>6118328.9563333336</v>
      </c>
      <c r="J27" s="18"/>
      <c r="K27" s="18"/>
    </row>
    <row r="28" spans="2:11" x14ac:dyDescent="0.2">
      <c r="B28" s="325"/>
      <c r="C28" s="122" t="s">
        <v>194</v>
      </c>
      <c r="D28" s="259">
        <v>106876.46799999999</v>
      </c>
      <c r="E28" s="264">
        <v>570787.5</v>
      </c>
      <c r="F28" s="264">
        <v>308349.16666666669</v>
      </c>
      <c r="G28" s="264">
        <v>467288.33333333337</v>
      </c>
      <c r="H28" s="264">
        <v>4448191.666666667</v>
      </c>
      <c r="I28" s="264">
        <f t="shared" si="0"/>
        <v>5901493.1346666664</v>
      </c>
      <c r="J28" s="18"/>
      <c r="K28" s="18"/>
    </row>
    <row r="29" spans="2:11" x14ac:dyDescent="0.2">
      <c r="B29" s="325"/>
      <c r="C29" s="122" t="s">
        <v>195</v>
      </c>
      <c r="D29" s="259">
        <v>109081.505</v>
      </c>
      <c r="E29" s="264">
        <v>553508.46014333295</v>
      </c>
      <c r="F29" s="264">
        <v>315162.5</v>
      </c>
      <c r="G29" s="264">
        <v>451237.5</v>
      </c>
      <c r="H29" s="264">
        <v>4391359.166666667</v>
      </c>
      <c r="I29" s="264">
        <f t="shared" si="0"/>
        <v>5820349.1318100002</v>
      </c>
      <c r="J29" s="18"/>
      <c r="K29" s="18"/>
    </row>
    <row r="30" spans="2:11" x14ac:dyDescent="0.2">
      <c r="B30" s="325"/>
      <c r="C30" s="168" t="s">
        <v>196</v>
      </c>
      <c r="D30" s="260">
        <v>115635.374</v>
      </c>
      <c r="E30" s="261">
        <v>595925</v>
      </c>
      <c r="F30" s="261">
        <v>323910.83333333337</v>
      </c>
      <c r="G30" s="261">
        <v>498855</v>
      </c>
      <c r="H30" s="261">
        <v>4620959.166666667</v>
      </c>
      <c r="I30" s="261">
        <f t="shared" si="0"/>
        <v>6155285.3739999998</v>
      </c>
      <c r="J30" s="18"/>
      <c r="K30" s="18"/>
    </row>
    <row r="31" spans="2:11" x14ac:dyDescent="0.2">
      <c r="B31" s="325">
        <v>2017</v>
      </c>
      <c r="C31" s="262" t="s">
        <v>193</v>
      </c>
      <c r="D31" s="257">
        <v>109489.90700000001</v>
      </c>
      <c r="E31" s="263">
        <v>589705.12681000005</v>
      </c>
      <c r="F31" s="263">
        <v>316930</v>
      </c>
      <c r="G31" s="263">
        <v>576115.83333333302</v>
      </c>
      <c r="H31" s="263">
        <v>4665351.6666666698</v>
      </c>
      <c r="I31" s="263">
        <f t="shared" si="0"/>
        <v>6257592.5338100027</v>
      </c>
      <c r="J31" s="18"/>
      <c r="K31" s="18"/>
    </row>
    <row r="32" spans="2:11" x14ac:dyDescent="0.2">
      <c r="B32" s="325"/>
      <c r="C32" s="122" t="s">
        <v>194</v>
      </c>
      <c r="D32" s="259">
        <v>112232.20299999999</v>
      </c>
      <c r="E32" s="264">
        <v>591360.12681000005</v>
      </c>
      <c r="F32" s="264">
        <v>331094.16666666698</v>
      </c>
      <c r="G32" s="264">
        <v>532877.5</v>
      </c>
      <c r="H32" s="264">
        <v>4895691.6666666698</v>
      </c>
      <c r="I32" s="264">
        <f t="shared" si="0"/>
        <v>6463255.6631433368</v>
      </c>
      <c r="J32" s="18"/>
      <c r="K32" s="18"/>
    </row>
    <row r="33" spans="2:11" x14ac:dyDescent="0.2">
      <c r="B33" s="325"/>
      <c r="C33" s="122" t="s">
        <v>195</v>
      </c>
      <c r="D33" s="259">
        <v>111413.336</v>
      </c>
      <c r="E33" s="264">
        <v>610305.83333333302</v>
      </c>
      <c r="F33" s="264">
        <v>310204.16666666698</v>
      </c>
      <c r="G33" s="264">
        <v>494604.16666666698</v>
      </c>
      <c r="H33" s="264">
        <v>4973604.1666666698</v>
      </c>
      <c r="I33" s="264">
        <f t="shared" si="0"/>
        <v>6500131.6693333369</v>
      </c>
      <c r="J33" s="18"/>
      <c r="K33" s="18"/>
    </row>
    <row r="34" spans="2:11" x14ac:dyDescent="0.2">
      <c r="B34" s="325"/>
      <c r="C34" s="168" t="s">
        <v>196</v>
      </c>
      <c r="D34" s="260">
        <v>119544.141</v>
      </c>
      <c r="E34" s="261">
        <v>648049.29347666702</v>
      </c>
      <c r="F34" s="261">
        <v>355623.33333333302</v>
      </c>
      <c r="G34" s="261">
        <v>526627.5</v>
      </c>
      <c r="H34" s="261">
        <v>5636011.6666666698</v>
      </c>
      <c r="I34" s="261">
        <f t="shared" si="0"/>
        <v>7285855.9344766699</v>
      </c>
      <c r="J34" s="18"/>
      <c r="K34" s="18"/>
    </row>
    <row r="35" spans="2:11" x14ac:dyDescent="0.2">
      <c r="B35" s="325">
        <v>2018</v>
      </c>
      <c r="C35" s="262" t="s">
        <v>193</v>
      </c>
      <c r="D35" s="257">
        <v>116616.85</v>
      </c>
      <c r="E35" s="263">
        <v>635495</v>
      </c>
      <c r="F35" s="263">
        <v>392773.33333333337</v>
      </c>
      <c r="G35" s="263">
        <v>620898.33333333337</v>
      </c>
      <c r="H35" s="263">
        <v>5446434.166666667</v>
      </c>
      <c r="I35" s="263">
        <v>7212217.6833333345</v>
      </c>
      <c r="J35" s="18"/>
      <c r="K35" s="18"/>
    </row>
    <row r="36" spans="2:11" x14ac:dyDescent="0.2">
      <c r="B36" s="325"/>
      <c r="C36" s="122" t="s">
        <v>194</v>
      </c>
      <c r="D36" s="259">
        <v>117917.07799999999</v>
      </c>
      <c r="E36" s="264">
        <v>591380.65916666668</v>
      </c>
      <c r="F36" s="264">
        <v>398242.92500000005</v>
      </c>
      <c r="G36" s="264">
        <v>574862.04333333345</v>
      </c>
      <c r="H36" s="264">
        <v>5005872.7640833333</v>
      </c>
      <c r="I36" s="264">
        <v>6688275.4695833325</v>
      </c>
      <c r="J36" s="18"/>
      <c r="K36" s="18"/>
    </row>
    <row r="37" spans="2:11" x14ac:dyDescent="0.2">
      <c r="B37" s="325"/>
      <c r="C37" s="122" t="s">
        <v>195</v>
      </c>
      <c r="D37" s="259">
        <v>116738.696</v>
      </c>
      <c r="E37" s="264">
        <v>588352.40333333332</v>
      </c>
      <c r="F37" s="264">
        <v>398130.76750000002</v>
      </c>
      <c r="G37" s="264">
        <v>536173.92416666669</v>
      </c>
      <c r="H37" s="264">
        <v>5003292.4332500007</v>
      </c>
      <c r="I37" s="264">
        <v>6642688.2242500009</v>
      </c>
      <c r="J37" s="18"/>
      <c r="K37" s="18"/>
    </row>
    <row r="38" spans="2:11" x14ac:dyDescent="0.2">
      <c r="B38" s="325"/>
      <c r="C38" s="168" t="s">
        <v>196</v>
      </c>
      <c r="D38" s="260">
        <v>126608.943</v>
      </c>
      <c r="E38" s="261">
        <v>643405.83333333337</v>
      </c>
      <c r="F38" s="261">
        <v>396614.10083333333</v>
      </c>
      <c r="G38" s="261">
        <v>570937.70750000014</v>
      </c>
      <c r="H38" s="261">
        <v>5636922.3925000001</v>
      </c>
      <c r="I38" s="261">
        <v>7374488.9771666666</v>
      </c>
    </row>
    <row r="39" spans="2:11" x14ac:dyDescent="0.2">
      <c r="B39" s="325">
        <v>2019</v>
      </c>
      <c r="C39" s="262" t="s">
        <v>193</v>
      </c>
      <c r="D39" s="257">
        <v>122715.285</v>
      </c>
      <c r="E39" s="263">
        <v>617420</v>
      </c>
      <c r="F39" s="263">
        <v>401451.66666666669</v>
      </c>
      <c r="G39" s="263">
        <v>776570</v>
      </c>
      <c r="H39" s="263">
        <v>5432991.666666667</v>
      </c>
      <c r="I39" s="263">
        <v>7351148.6183333332</v>
      </c>
    </row>
    <row r="40" spans="2:11" x14ac:dyDescent="0.2">
      <c r="B40" s="325"/>
      <c r="C40" s="122" t="s">
        <v>194</v>
      </c>
      <c r="D40" s="259">
        <v>124093.24</v>
      </c>
      <c r="E40" s="264">
        <v>645208.06927500002</v>
      </c>
      <c r="F40" s="264">
        <v>398500.36070833332</v>
      </c>
      <c r="G40" s="264">
        <v>685200.09025000001</v>
      </c>
      <c r="H40" s="264">
        <v>5543425.1906916667</v>
      </c>
      <c r="I40" s="264">
        <v>7396426.950925</v>
      </c>
    </row>
    <row r="41" spans="2:11" x14ac:dyDescent="0.2">
      <c r="B41" s="325"/>
      <c r="C41" s="122" t="s">
        <v>195</v>
      </c>
      <c r="D41" s="259">
        <v>122473.2</v>
      </c>
      <c r="E41" s="264">
        <v>714220.38090000022</v>
      </c>
      <c r="F41" s="264">
        <v>406034.52323333331</v>
      </c>
      <c r="G41" s="264">
        <v>564472.74003333342</v>
      </c>
      <c r="H41" s="264">
        <v>5372929.1797083328</v>
      </c>
      <c r="I41" s="264">
        <v>7180130.023875</v>
      </c>
    </row>
    <row r="42" spans="2:11" x14ac:dyDescent="0.2">
      <c r="B42" s="325"/>
      <c r="C42" s="168" t="s">
        <v>196</v>
      </c>
      <c r="D42" s="260">
        <v>140368.736</v>
      </c>
      <c r="E42" s="261">
        <v>775348.64452500001</v>
      </c>
      <c r="F42" s="261">
        <v>456254.97260833334</v>
      </c>
      <c r="G42" s="261">
        <v>581266.4150083334</v>
      </c>
      <c r="H42" s="261">
        <v>5612953.0066416673</v>
      </c>
      <c r="I42" s="261">
        <v>7566191.7747833338</v>
      </c>
    </row>
    <row r="43" spans="2:11" x14ac:dyDescent="0.2">
      <c r="B43" s="325">
        <v>2020</v>
      </c>
      <c r="C43" s="262" t="s">
        <v>193</v>
      </c>
      <c r="D43" s="257">
        <v>150844.65900000001</v>
      </c>
      <c r="E43" s="263">
        <v>812126.16374166671</v>
      </c>
      <c r="F43" s="263">
        <v>484885.7272583333</v>
      </c>
      <c r="G43" s="263">
        <v>588565.29269166675</v>
      </c>
      <c r="H43" s="263">
        <v>5421074.7059083339</v>
      </c>
      <c r="I43" s="263">
        <v>7457496.5486000013</v>
      </c>
    </row>
    <row r="44" spans="2:11" x14ac:dyDescent="0.2">
      <c r="B44" s="325"/>
      <c r="C44" s="122" t="s">
        <v>194</v>
      </c>
      <c r="D44" s="259">
        <v>155370.06400000001</v>
      </c>
      <c r="E44" s="264">
        <v>847611.19934166665</v>
      </c>
      <c r="F44" s="264">
        <v>690319.03354166669</v>
      </c>
      <c r="G44" s="264">
        <v>512662.29112500005</v>
      </c>
      <c r="H44" s="264">
        <v>5771456.8915250003</v>
      </c>
      <c r="I44" s="264">
        <v>7977419.4795333343</v>
      </c>
    </row>
    <row r="45" spans="2:11" x14ac:dyDescent="0.2">
      <c r="B45" s="325"/>
      <c r="C45" s="122" t="s">
        <v>195</v>
      </c>
      <c r="D45" s="259">
        <v>158675.035</v>
      </c>
      <c r="E45" s="264">
        <v>880504.72724166664</v>
      </c>
      <c r="F45" s="264">
        <v>710471.82980833331</v>
      </c>
      <c r="G45" s="264">
        <v>495164.79145000002</v>
      </c>
      <c r="H45" s="264">
        <v>5659759.6039249999</v>
      </c>
      <c r="I45" s="264">
        <v>7904575.9874249995</v>
      </c>
    </row>
    <row r="46" spans="2:11" x14ac:dyDescent="0.2">
      <c r="B46" s="325"/>
      <c r="C46" s="168" t="s">
        <v>196</v>
      </c>
      <c r="D46" s="260">
        <v>164426.34099999999</v>
      </c>
      <c r="E46" s="261">
        <v>937359.93120833347</v>
      </c>
      <c r="F46" s="261">
        <v>693014.55593333335</v>
      </c>
      <c r="G46" s="261">
        <v>522285.14873333334</v>
      </c>
      <c r="H46" s="261">
        <v>5872689.7718500001</v>
      </c>
      <c r="I46" s="261">
        <v>8189775.7487250008</v>
      </c>
    </row>
    <row r="47" spans="2:11" x14ac:dyDescent="0.2">
      <c r="B47" s="325">
        <v>2021</v>
      </c>
      <c r="C47" s="262" t="s">
        <v>193</v>
      </c>
      <c r="D47" s="257">
        <v>157553.21599999999</v>
      </c>
      <c r="E47" s="263">
        <v>963493.78776666673</v>
      </c>
      <c r="F47" s="263">
        <v>680673.70705833333</v>
      </c>
      <c r="G47" s="263">
        <v>629118.15460000001</v>
      </c>
      <c r="H47" s="263">
        <v>5955291.8429000005</v>
      </c>
      <c r="I47" s="263">
        <v>8386130.7083250014</v>
      </c>
    </row>
    <row r="48" spans="2:11" x14ac:dyDescent="0.2">
      <c r="B48" s="325"/>
      <c r="C48" s="122" t="s">
        <v>194</v>
      </c>
      <c r="D48" s="259">
        <v>161705.18100000001</v>
      </c>
      <c r="E48" s="264">
        <v>1029577.92715</v>
      </c>
      <c r="F48" s="264">
        <v>702055.28663333331</v>
      </c>
      <c r="G48" s="264">
        <v>522745.32040000008</v>
      </c>
      <c r="H48" s="264">
        <v>6477483.5671500005</v>
      </c>
      <c r="I48" s="264">
        <v>8893567.282333333</v>
      </c>
    </row>
    <row r="49" spans="2:9" x14ac:dyDescent="0.2">
      <c r="B49" s="325"/>
      <c r="C49" s="122" t="s">
        <v>195</v>
      </c>
      <c r="D49" s="259">
        <v>156719.25399999999</v>
      </c>
      <c r="E49" s="264">
        <v>1016056.8230500001</v>
      </c>
      <c r="F49" s="264">
        <v>715082.85917499999</v>
      </c>
      <c r="G49" s="264">
        <v>501767.13204166671</v>
      </c>
      <c r="H49" s="264">
        <v>6045153.1394750001</v>
      </c>
      <c r="I49" s="264">
        <v>8434779.2077416666</v>
      </c>
    </row>
    <row r="50" spans="2:9" x14ac:dyDescent="0.2">
      <c r="B50" s="325"/>
      <c r="C50" s="168" t="s">
        <v>196</v>
      </c>
      <c r="D50" s="260">
        <v>173503.64799999999</v>
      </c>
      <c r="E50" s="261">
        <v>1055638.1515500001</v>
      </c>
      <c r="F50" s="261">
        <v>734922.50655000005</v>
      </c>
      <c r="G50" s="261">
        <v>549168.02296666673</v>
      </c>
      <c r="H50" s="261">
        <v>6146935.1476000007</v>
      </c>
      <c r="I50" s="261">
        <v>8660167.4766666666</v>
      </c>
    </row>
    <row r="51" spans="2:9" x14ac:dyDescent="0.2">
      <c r="B51" s="325">
        <v>2022</v>
      </c>
      <c r="C51" s="262" t="s">
        <v>193</v>
      </c>
      <c r="D51" s="257">
        <v>165700.44699999999</v>
      </c>
      <c r="E51" s="263">
        <v>1040451.7214083335</v>
      </c>
      <c r="F51" s="263">
        <v>742827.43625000003</v>
      </c>
      <c r="G51" s="263">
        <v>553490.9797250001</v>
      </c>
      <c r="H51" s="263">
        <v>6054992.440525</v>
      </c>
      <c r="I51" s="263">
        <v>8557463.0249083322</v>
      </c>
    </row>
    <row r="52" spans="2:9" x14ac:dyDescent="0.2">
      <c r="B52" s="325"/>
      <c r="C52" s="122" t="s">
        <v>194</v>
      </c>
      <c r="D52" s="259">
        <v>166545.12899999999</v>
      </c>
      <c r="E52" s="264">
        <v>1033844.6688999999</v>
      </c>
      <c r="F52" s="264">
        <v>750023.04233333329</v>
      </c>
      <c r="G52" s="264">
        <v>527661.6645666667</v>
      </c>
      <c r="H52" s="264">
        <v>6444655.4694000008</v>
      </c>
      <c r="I52" s="264">
        <v>8922729.9741999991</v>
      </c>
    </row>
    <row r="53" spans="2:9" x14ac:dyDescent="0.2">
      <c r="B53" s="325"/>
      <c r="C53" s="122" t="s">
        <v>195</v>
      </c>
      <c r="D53" s="259">
        <v>168136.255</v>
      </c>
      <c r="E53" s="264">
        <v>999411.56941666675</v>
      </c>
      <c r="F53" s="264">
        <v>728359.53122500004</v>
      </c>
      <c r="G53" s="264">
        <v>524153.83885000006</v>
      </c>
      <c r="H53" s="264">
        <v>6000312.3220250001</v>
      </c>
      <c r="I53" s="264">
        <v>8420373.5165166669</v>
      </c>
    </row>
    <row r="54" spans="2:9" x14ac:dyDescent="0.2">
      <c r="B54" s="325"/>
      <c r="C54" s="168" t="s">
        <v>196</v>
      </c>
      <c r="D54" s="260">
        <v>171116.954</v>
      </c>
      <c r="E54" s="261">
        <v>1005487.2679833333</v>
      </c>
      <c r="F54" s="261">
        <v>721551.81624166656</v>
      </c>
      <c r="G54" s="261">
        <v>660854.44225833332</v>
      </c>
      <c r="H54" s="261">
        <v>5978039.1853666669</v>
      </c>
      <c r="I54" s="261">
        <v>8537049.6658500023</v>
      </c>
    </row>
    <row r="55" spans="2:9" x14ac:dyDescent="0.2">
      <c r="B55" s="325">
        <v>2023</v>
      </c>
      <c r="C55" s="262" t="s">
        <v>193</v>
      </c>
      <c r="D55" s="257">
        <v>157817.041</v>
      </c>
      <c r="E55" s="263">
        <v>1013184.1606083334</v>
      </c>
      <c r="F55" s="263">
        <v>745683.10369166662</v>
      </c>
      <c r="G55" s="263">
        <v>703351.74176666664</v>
      </c>
      <c r="H55" s="263">
        <v>5689255.4335416667</v>
      </c>
      <c r="I55" s="263">
        <v>8309291.4806083338</v>
      </c>
    </row>
    <row r="56" spans="2:9" x14ac:dyDescent="0.2">
      <c r="B56" s="325"/>
      <c r="C56" s="122" t="s">
        <v>194</v>
      </c>
      <c r="D56" s="259">
        <v>158528.617</v>
      </c>
      <c r="E56" s="264">
        <v>980634.73797500005</v>
      </c>
      <c r="F56" s="264">
        <v>733332.725125</v>
      </c>
      <c r="G56" s="264">
        <v>618722.73649166676</v>
      </c>
      <c r="H56" s="264">
        <v>6034733.9164416669</v>
      </c>
      <c r="I56" s="264">
        <v>8525952.7330333348</v>
      </c>
    </row>
    <row r="57" spans="2:9" x14ac:dyDescent="0.2">
      <c r="B57" s="325"/>
      <c r="C57" s="122" t="s">
        <v>195</v>
      </c>
      <c r="D57" s="259">
        <v>153761.77600000001</v>
      </c>
      <c r="E57" s="264">
        <v>919141.64465833339</v>
      </c>
      <c r="F57" s="264">
        <v>735824.31719166669</v>
      </c>
      <c r="G57" s="264">
        <v>592144.49307500001</v>
      </c>
      <c r="H57" s="264">
        <v>5827179.5818666667</v>
      </c>
      <c r="I57" s="264">
        <v>8228051.8127916679</v>
      </c>
    </row>
    <row r="58" spans="2:9" x14ac:dyDescent="0.2">
      <c r="B58" s="325"/>
      <c r="C58" s="168" t="s">
        <v>196</v>
      </c>
      <c r="D58" s="260">
        <v>169514.80699999997</v>
      </c>
      <c r="E58" s="261">
        <v>1037393.62415</v>
      </c>
      <c r="F58" s="261">
        <v>748243.93560833344</v>
      </c>
      <c r="G58" s="261">
        <v>675903.25353333342</v>
      </c>
      <c r="H58" s="261">
        <v>5843388.0143999998</v>
      </c>
      <c r="I58" s="261">
        <v>8474443.6346916668</v>
      </c>
    </row>
    <row r="59" spans="2:9" x14ac:dyDescent="0.2">
      <c r="B59" s="265"/>
      <c r="C59" s="122"/>
      <c r="D59" s="264"/>
      <c r="E59" s="264"/>
      <c r="F59" s="264"/>
      <c r="G59" s="264"/>
      <c r="H59" s="264"/>
      <c r="I59" s="264"/>
    </row>
    <row r="60" spans="2:9" x14ac:dyDescent="0.2">
      <c r="B60" s="265"/>
      <c r="C60" s="122"/>
      <c r="D60" s="264"/>
      <c r="E60" s="264"/>
      <c r="F60" s="264"/>
      <c r="G60" s="264"/>
      <c r="H60" s="264"/>
      <c r="I60" s="264"/>
    </row>
    <row r="61" spans="2:9" x14ac:dyDescent="0.2">
      <c r="B61" s="129" t="s">
        <v>223</v>
      </c>
    </row>
    <row r="63" spans="2:9" x14ac:dyDescent="0.2">
      <c r="H63" s="17">
        <v>1000</v>
      </c>
    </row>
  </sheetData>
  <mergeCells count="17">
    <mergeCell ref="C7:I7"/>
    <mergeCell ref="B35:B38"/>
    <mergeCell ref="B23:B26"/>
    <mergeCell ref="B31:B34"/>
    <mergeCell ref="D10:I10"/>
    <mergeCell ref="D11:E12"/>
    <mergeCell ref="I11:I13"/>
    <mergeCell ref="F11:H12"/>
    <mergeCell ref="B27:B30"/>
    <mergeCell ref="D14:I14"/>
    <mergeCell ref="B39:B42"/>
    <mergeCell ref="B15:B18"/>
    <mergeCell ref="B19:B22"/>
    <mergeCell ref="B55:B58"/>
    <mergeCell ref="B51:B54"/>
    <mergeCell ref="B47:B50"/>
    <mergeCell ref="B43:B46"/>
  </mergeCells>
  <pageMargins left="0.7" right="0.7" top="0.75" bottom="0.75" header="0.3" footer="0.3"/>
  <pageSetup scale="85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550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381000</xdr:colOff>
                <xdr:row>3</xdr:row>
                <xdr:rowOff>152400</xdr:rowOff>
              </to>
            </anchor>
          </objectPr>
        </oleObject>
      </mc:Choice>
      <mc:Fallback>
        <oleObject progId="MSPhotoEd.3" shapeId="40550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60"/>
  <sheetViews>
    <sheetView zoomScaleNormal="100" workbookViewId="0">
      <pane ySplit="12" topLeftCell="A13" activePane="bottomLeft" state="frozen"/>
      <selection pane="bottomLeft" activeCell="M44" sqref="M44"/>
    </sheetView>
  </sheetViews>
  <sheetFormatPr defaultRowHeight="12.75" x14ac:dyDescent="0.2"/>
  <cols>
    <col min="1" max="2" width="9.140625" style="17"/>
    <col min="3" max="3" width="7.5703125" style="17" customWidth="1"/>
    <col min="4" max="4" width="11.5703125" style="17" customWidth="1"/>
    <col min="5" max="5" width="10.85546875" style="17" customWidth="1"/>
    <col min="6" max="6" width="24" style="17" customWidth="1"/>
    <col min="7" max="7" width="12.140625" style="17" customWidth="1"/>
    <col min="8" max="8" width="14.5703125" style="17" customWidth="1"/>
    <col min="9" max="9" width="11.42578125" style="17" customWidth="1"/>
    <col min="10" max="10" width="10.5703125" style="17" customWidth="1"/>
    <col min="11" max="12" width="9.140625" style="17"/>
    <col min="13" max="13" width="10.42578125" style="17" bestFit="1" customWidth="1"/>
    <col min="14" max="16384" width="9.140625" style="17"/>
  </cols>
  <sheetData>
    <row r="2" spans="2:13" x14ac:dyDescent="0.2">
      <c r="H2" s="140" t="s">
        <v>253</v>
      </c>
    </row>
    <row r="6" spans="2:13" ht="15.75" x14ac:dyDescent="0.25">
      <c r="B6" s="144" t="s">
        <v>227</v>
      </c>
      <c r="C6" s="311" t="s">
        <v>258</v>
      </c>
      <c r="D6" s="311"/>
      <c r="E6" s="311"/>
      <c r="F6" s="311"/>
      <c r="G6" s="311"/>
      <c r="H6" s="311"/>
      <c r="I6" s="311"/>
      <c r="J6" s="220"/>
    </row>
    <row r="7" spans="2:13" x14ac:dyDescent="0.2">
      <c r="B7" s="25"/>
      <c r="C7" s="25"/>
    </row>
    <row r="10" spans="2:13" x14ac:dyDescent="0.2">
      <c r="D10" s="328" t="s">
        <v>212</v>
      </c>
      <c r="E10" s="328"/>
      <c r="F10" s="328"/>
      <c r="G10" s="328"/>
      <c r="H10" s="328"/>
      <c r="I10" s="328"/>
      <c r="J10" s="328"/>
    </row>
    <row r="11" spans="2:13" x14ac:dyDescent="0.2">
      <c r="D11" s="322" t="s">
        <v>206</v>
      </c>
      <c r="E11" s="327"/>
      <c r="F11" s="327"/>
      <c r="G11" s="327"/>
      <c r="H11" s="328" t="s">
        <v>207</v>
      </c>
      <c r="I11" s="328"/>
      <c r="J11" s="329" t="s">
        <v>137</v>
      </c>
    </row>
    <row r="12" spans="2:13" ht="38.25" x14ac:dyDescent="0.2">
      <c r="D12" s="266" t="s">
        <v>43</v>
      </c>
      <c r="E12" s="266" t="s">
        <v>208</v>
      </c>
      <c r="F12" s="266" t="s">
        <v>213</v>
      </c>
      <c r="G12" s="266" t="s">
        <v>209</v>
      </c>
      <c r="H12" s="266" t="s">
        <v>210</v>
      </c>
      <c r="I12" s="267" t="s">
        <v>211</v>
      </c>
      <c r="J12" s="330"/>
    </row>
    <row r="13" spans="2:13" x14ac:dyDescent="0.2">
      <c r="C13" s="256"/>
      <c r="D13" s="324" t="s">
        <v>198</v>
      </c>
      <c r="E13" s="324"/>
      <c r="F13" s="324"/>
      <c r="G13" s="324"/>
      <c r="H13" s="324"/>
      <c r="I13" s="324"/>
      <c r="J13" s="324"/>
    </row>
    <row r="14" spans="2:13" x14ac:dyDescent="0.2">
      <c r="B14" s="325">
        <v>2013</v>
      </c>
      <c r="C14" s="262" t="s">
        <v>193</v>
      </c>
      <c r="D14" s="257">
        <v>3901380</v>
      </c>
      <c r="E14" s="263">
        <v>1019280.8333333334</v>
      </c>
      <c r="F14" s="263">
        <v>0</v>
      </c>
      <c r="G14" s="263">
        <v>1299024.1666666667</v>
      </c>
      <c r="H14" s="263">
        <v>3255695</v>
      </c>
      <c r="I14" s="263">
        <v>-21784.166666666668</v>
      </c>
      <c r="J14" s="268">
        <f t="shared" ref="J14:J36" si="0">D14+E14+F14+G14-H14-I14</f>
        <v>2985774.1666666665</v>
      </c>
      <c r="M14" s="18"/>
    </row>
    <row r="15" spans="2:13" x14ac:dyDescent="0.2">
      <c r="B15" s="325"/>
      <c r="C15" s="122" t="s">
        <v>194</v>
      </c>
      <c r="D15" s="259">
        <v>4199935</v>
      </c>
      <c r="E15" s="264">
        <v>1017837.5</v>
      </c>
      <c r="F15" s="264">
        <v>0</v>
      </c>
      <c r="G15" s="264">
        <v>716272.5</v>
      </c>
      <c r="H15" s="264">
        <v>3065187.5</v>
      </c>
      <c r="I15" s="264">
        <v>147313.33333333334</v>
      </c>
      <c r="J15" s="169">
        <f t="shared" si="0"/>
        <v>2721544.1666666665</v>
      </c>
      <c r="M15" s="18"/>
    </row>
    <row r="16" spans="2:13" x14ac:dyDescent="0.2">
      <c r="B16" s="325"/>
      <c r="C16" s="122" t="s">
        <v>195</v>
      </c>
      <c r="D16" s="259">
        <v>3809432.5</v>
      </c>
      <c r="E16" s="264">
        <v>1026665</v>
      </c>
      <c r="F16" s="264">
        <v>0</v>
      </c>
      <c r="G16" s="264">
        <v>821454.16666666674</v>
      </c>
      <c r="H16" s="264">
        <v>2795552.5</v>
      </c>
      <c r="I16" s="264">
        <v>204870</v>
      </c>
      <c r="J16" s="169">
        <f t="shared" si="0"/>
        <v>2657129.166666667</v>
      </c>
      <c r="M16" s="18"/>
    </row>
    <row r="17" spans="2:13" x14ac:dyDescent="0.2">
      <c r="B17" s="325"/>
      <c r="C17" s="168" t="s">
        <v>196</v>
      </c>
      <c r="D17" s="260">
        <v>4408251.666666667</v>
      </c>
      <c r="E17" s="261">
        <v>910260.83333333337</v>
      </c>
      <c r="F17" s="261">
        <v>0</v>
      </c>
      <c r="G17" s="261">
        <v>864035.83333333337</v>
      </c>
      <c r="H17" s="261">
        <v>2815620</v>
      </c>
      <c r="I17" s="261">
        <v>219093.33333333334</v>
      </c>
      <c r="J17" s="170">
        <f t="shared" si="0"/>
        <v>3147834.9999999995</v>
      </c>
      <c r="M17" s="18"/>
    </row>
    <row r="18" spans="2:13" x14ac:dyDescent="0.2">
      <c r="B18" s="325">
        <v>2014</v>
      </c>
      <c r="C18" s="262" t="s">
        <v>193</v>
      </c>
      <c r="D18" s="257">
        <v>3796325.8333333335</v>
      </c>
      <c r="E18" s="263">
        <v>1089310.8333333335</v>
      </c>
      <c r="F18" s="263">
        <v>0</v>
      </c>
      <c r="G18" s="263">
        <v>893534.16666666674</v>
      </c>
      <c r="H18" s="263">
        <v>2644537.5</v>
      </c>
      <c r="I18" s="263">
        <v>89350.833333333343</v>
      </c>
      <c r="J18" s="268">
        <f t="shared" si="0"/>
        <v>3045282.5000000005</v>
      </c>
      <c r="M18" s="18"/>
    </row>
    <row r="19" spans="2:13" x14ac:dyDescent="0.2">
      <c r="B19" s="325"/>
      <c r="C19" s="122" t="s">
        <v>194</v>
      </c>
      <c r="D19" s="259">
        <v>3487379.166666667</v>
      </c>
      <c r="E19" s="264">
        <v>1124953.3333333335</v>
      </c>
      <c r="F19" s="264">
        <v>0</v>
      </c>
      <c r="G19" s="264">
        <v>892127.5</v>
      </c>
      <c r="H19" s="264">
        <v>2626682.5</v>
      </c>
      <c r="I19" s="264">
        <v>177125</v>
      </c>
      <c r="J19" s="169">
        <f t="shared" si="0"/>
        <v>2700652.5</v>
      </c>
      <c r="M19" s="18"/>
    </row>
    <row r="20" spans="2:13" x14ac:dyDescent="0.2">
      <c r="B20" s="325"/>
      <c r="C20" s="122" t="s">
        <v>195</v>
      </c>
      <c r="D20" s="259">
        <v>3375290</v>
      </c>
      <c r="E20" s="264">
        <v>1191839.1666666667</v>
      </c>
      <c r="F20" s="264">
        <v>0</v>
      </c>
      <c r="G20" s="264">
        <v>827419.16666666674</v>
      </c>
      <c r="H20" s="264">
        <v>2628594.166666667</v>
      </c>
      <c r="I20" s="264">
        <v>255213.33333333334</v>
      </c>
      <c r="J20" s="169">
        <f t="shared" si="0"/>
        <v>2510740.8333333335</v>
      </c>
      <c r="M20" s="18"/>
    </row>
    <row r="21" spans="2:13" x14ac:dyDescent="0.2">
      <c r="B21" s="325"/>
      <c r="C21" s="168" t="s">
        <v>196</v>
      </c>
      <c r="D21" s="260">
        <v>2865404.166666667</v>
      </c>
      <c r="E21" s="261">
        <v>1370259.1666666667</v>
      </c>
      <c r="F21" s="261">
        <v>0</v>
      </c>
      <c r="G21" s="261">
        <v>897188.33333333337</v>
      </c>
      <c r="H21" s="261">
        <v>2806760</v>
      </c>
      <c r="I21" s="261">
        <v>144585.83333333334</v>
      </c>
      <c r="J21" s="170">
        <f t="shared" si="0"/>
        <v>2181505.8333333335</v>
      </c>
      <c r="M21" s="18"/>
    </row>
    <row r="22" spans="2:13" x14ac:dyDescent="0.2">
      <c r="B22" s="325">
        <v>2015</v>
      </c>
      <c r="C22" s="262" t="s">
        <v>193</v>
      </c>
      <c r="D22" s="257">
        <v>2963058.3333333335</v>
      </c>
      <c r="E22" s="263">
        <v>1535418.3333333335</v>
      </c>
      <c r="F22" s="263">
        <v>0</v>
      </c>
      <c r="G22" s="263">
        <v>815971.66666666674</v>
      </c>
      <c r="H22" s="263">
        <v>2906675</v>
      </c>
      <c r="I22" s="263">
        <v>204543.33333333334</v>
      </c>
      <c r="J22" s="268">
        <f t="shared" si="0"/>
        <v>2203230.0000000005</v>
      </c>
      <c r="M22" s="18"/>
    </row>
    <row r="23" spans="2:13" x14ac:dyDescent="0.2">
      <c r="B23" s="325"/>
      <c r="C23" s="122" t="s">
        <v>194</v>
      </c>
      <c r="D23" s="259">
        <v>2734237.5</v>
      </c>
      <c r="E23" s="264">
        <v>1767968.3333333335</v>
      </c>
      <c r="F23" s="264">
        <v>0</v>
      </c>
      <c r="G23" s="264">
        <v>820903.33333333337</v>
      </c>
      <c r="H23" s="264">
        <v>2797320</v>
      </c>
      <c r="I23" s="264">
        <v>273164.16666666669</v>
      </c>
      <c r="J23" s="169">
        <f t="shared" si="0"/>
        <v>2252625.0000000005</v>
      </c>
      <c r="M23" s="18"/>
    </row>
    <row r="24" spans="2:13" x14ac:dyDescent="0.2">
      <c r="B24" s="325"/>
      <c r="C24" s="122" t="s">
        <v>195</v>
      </c>
      <c r="D24" s="259">
        <v>2934567.5</v>
      </c>
      <c r="E24" s="264">
        <v>2069054.1666666667</v>
      </c>
      <c r="F24" s="264">
        <v>0</v>
      </c>
      <c r="G24" s="264">
        <v>2537550</v>
      </c>
      <c r="H24" s="264">
        <v>4168993.3333333335</v>
      </c>
      <c r="I24" s="264">
        <v>270485</v>
      </c>
      <c r="J24" s="169">
        <f t="shared" si="0"/>
        <v>3101693.3333333335</v>
      </c>
      <c r="M24" s="18"/>
    </row>
    <row r="25" spans="2:13" x14ac:dyDescent="0.2">
      <c r="B25" s="325"/>
      <c r="C25" s="168" t="s">
        <v>196</v>
      </c>
      <c r="D25" s="260">
        <v>3260790.8333333335</v>
      </c>
      <c r="E25" s="261">
        <v>2208624.166666667</v>
      </c>
      <c r="F25" s="261">
        <v>0</v>
      </c>
      <c r="G25" s="261">
        <v>2946961.666666667</v>
      </c>
      <c r="H25" s="261">
        <v>4549055.833333334</v>
      </c>
      <c r="I25" s="261">
        <v>182687.5</v>
      </c>
      <c r="J25" s="170">
        <f t="shared" si="0"/>
        <v>3684633.333333334</v>
      </c>
      <c r="M25" s="18"/>
    </row>
    <row r="26" spans="2:13" x14ac:dyDescent="0.2">
      <c r="B26" s="325">
        <v>2016</v>
      </c>
      <c r="C26" s="262" t="s">
        <v>193</v>
      </c>
      <c r="D26" s="257">
        <v>2903943.3333333335</v>
      </c>
      <c r="E26" s="263">
        <v>2603303.333333334</v>
      </c>
      <c r="F26" s="263">
        <v>0</v>
      </c>
      <c r="G26" s="263">
        <v>3009025</v>
      </c>
      <c r="H26" s="263">
        <v>4296330</v>
      </c>
      <c r="I26" s="263">
        <v>213620.83333333334</v>
      </c>
      <c r="J26" s="268">
        <f t="shared" si="0"/>
        <v>4006320.8333333344</v>
      </c>
      <c r="M26" s="18"/>
    </row>
    <row r="27" spans="2:13" x14ac:dyDescent="0.2">
      <c r="B27" s="325"/>
      <c r="C27" s="122" t="s">
        <v>194</v>
      </c>
      <c r="D27" s="259">
        <v>2862285.8333333335</v>
      </c>
      <c r="E27" s="264">
        <v>2515866.666666667</v>
      </c>
      <c r="F27" s="264">
        <v>0</v>
      </c>
      <c r="G27" s="264">
        <v>3002696.666666667</v>
      </c>
      <c r="H27" s="264">
        <v>4498472.5</v>
      </c>
      <c r="I27" s="264">
        <v>165485.83333333334</v>
      </c>
      <c r="J27" s="169">
        <f t="shared" si="0"/>
        <v>3716890.8333333335</v>
      </c>
      <c r="M27" s="18"/>
    </row>
    <row r="28" spans="2:13" x14ac:dyDescent="0.2">
      <c r="B28" s="325"/>
      <c r="C28" s="122" t="s">
        <v>195</v>
      </c>
      <c r="D28" s="259">
        <v>2965662.5000000005</v>
      </c>
      <c r="E28" s="264">
        <v>2369695.8333333335</v>
      </c>
      <c r="F28" s="264">
        <v>0</v>
      </c>
      <c r="G28" s="264">
        <v>2902913.3333333335</v>
      </c>
      <c r="H28" s="264">
        <v>4424934.166666667</v>
      </c>
      <c r="I28" s="264">
        <v>148822.5</v>
      </c>
      <c r="J28" s="169">
        <f t="shared" si="0"/>
        <v>3664515.0000000009</v>
      </c>
      <c r="M28" s="18"/>
    </row>
    <row r="29" spans="2:13" x14ac:dyDescent="0.2">
      <c r="B29" s="325"/>
      <c r="C29" s="168" t="s">
        <v>196</v>
      </c>
      <c r="D29" s="260">
        <v>3104631.6666666665</v>
      </c>
      <c r="E29" s="261">
        <v>2552581.666666667</v>
      </c>
      <c r="F29" s="261">
        <v>0</v>
      </c>
      <c r="G29" s="261">
        <v>2652303.3333333335</v>
      </c>
      <c r="H29" s="261">
        <v>4322721.666666667</v>
      </c>
      <c r="I29" s="261">
        <v>226018.33333333334</v>
      </c>
      <c r="J29" s="170">
        <f>D29+E29+F29+G29-H29-I29</f>
        <v>3760776.6666666674</v>
      </c>
      <c r="M29" s="18"/>
    </row>
    <row r="30" spans="2:13" x14ac:dyDescent="0.2">
      <c r="B30" s="325">
        <v>2017</v>
      </c>
      <c r="C30" s="262" t="s">
        <v>193</v>
      </c>
      <c r="D30" s="257">
        <v>3371705.8333333335</v>
      </c>
      <c r="E30" s="263">
        <v>2523533.3333333335</v>
      </c>
      <c r="F30" s="263">
        <v>0</v>
      </c>
      <c r="G30" s="263">
        <v>2815450.0000000009</v>
      </c>
      <c r="H30" s="263">
        <v>4351070.0000000009</v>
      </c>
      <c r="I30" s="263">
        <v>208640.83333333331</v>
      </c>
      <c r="J30" s="268">
        <f t="shared" si="0"/>
        <v>4150978.3333333335</v>
      </c>
      <c r="M30" s="18"/>
    </row>
    <row r="31" spans="2:13" x14ac:dyDescent="0.2">
      <c r="B31" s="325"/>
      <c r="C31" s="122" t="s">
        <v>194</v>
      </c>
      <c r="D31" s="259">
        <v>3558576.666666667</v>
      </c>
      <c r="E31" s="264">
        <v>2472809.166666667</v>
      </c>
      <c r="F31" s="264">
        <v>0</v>
      </c>
      <c r="G31" s="264">
        <v>2503897.5</v>
      </c>
      <c r="H31" s="264">
        <v>4078155.8333333335</v>
      </c>
      <c r="I31" s="264">
        <v>211959.16666666666</v>
      </c>
      <c r="J31" s="169">
        <f t="shared" si="0"/>
        <v>4245168.333333333</v>
      </c>
      <c r="M31" s="18"/>
    </row>
    <row r="32" spans="2:13" x14ac:dyDescent="0.2">
      <c r="B32" s="325"/>
      <c r="C32" s="122" t="s">
        <v>195</v>
      </c>
      <c r="D32" s="259">
        <v>4065413.3333333335</v>
      </c>
      <c r="E32" s="264">
        <v>2494178.333333334</v>
      </c>
      <c r="F32" s="264">
        <v>0</v>
      </c>
      <c r="G32" s="264">
        <v>2394679.166666667</v>
      </c>
      <c r="H32" s="264">
        <v>4347245.833333333</v>
      </c>
      <c r="I32" s="264">
        <v>248075.83333333334</v>
      </c>
      <c r="J32" s="169">
        <f t="shared" si="0"/>
        <v>4358949.1666666698</v>
      </c>
      <c r="M32" s="18"/>
    </row>
    <row r="33" spans="2:13" x14ac:dyDescent="0.2">
      <c r="B33" s="325"/>
      <c r="C33" s="168" t="s">
        <v>196</v>
      </c>
      <c r="D33" s="260">
        <v>4310316.666666667</v>
      </c>
      <c r="E33" s="261">
        <v>2475927.5</v>
      </c>
      <c r="F33" s="261">
        <v>0</v>
      </c>
      <c r="G33" s="261">
        <v>2015921.6666666667</v>
      </c>
      <c r="H33" s="261">
        <v>3752735.8333333335</v>
      </c>
      <c r="I33" s="261">
        <v>221496.66666666669</v>
      </c>
      <c r="J33" s="170">
        <f>D33+E33+F33+G33-H33-I33</f>
        <v>4827933.333333333</v>
      </c>
      <c r="M33" s="18"/>
    </row>
    <row r="34" spans="2:13" x14ac:dyDescent="0.2">
      <c r="B34" s="325">
        <v>2018</v>
      </c>
      <c r="C34" s="262" t="s">
        <v>193</v>
      </c>
      <c r="D34" s="257">
        <v>4591228.333333333</v>
      </c>
      <c r="E34" s="263">
        <v>2411483.3333333335</v>
      </c>
      <c r="F34" s="263">
        <v>0</v>
      </c>
      <c r="G34" s="263">
        <v>1858923.3333333335</v>
      </c>
      <c r="H34" s="263">
        <v>3926622.5</v>
      </c>
      <c r="I34" s="263">
        <v>203158.33333333337</v>
      </c>
      <c r="J34" s="268">
        <f t="shared" si="0"/>
        <v>4731854.166666667</v>
      </c>
      <c r="M34" s="18"/>
    </row>
    <row r="35" spans="2:13" x14ac:dyDescent="0.2">
      <c r="B35" s="325"/>
      <c r="C35" s="122" t="s">
        <v>194</v>
      </c>
      <c r="D35" s="259">
        <v>3733610.3883333337</v>
      </c>
      <c r="E35" s="264">
        <v>2655677.5475000003</v>
      </c>
      <c r="F35" s="264">
        <v>0</v>
      </c>
      <c r="G35" s="264">
        <v>1582738.6983333332</v>
      </c>
      <c r="H35" s="264">
        <v>3776491.2324999999</v>
      </c>
      <c r="I35" s="264">
        <v>240645.40333333332</v>
      </c>
      <c r="J35" s="169">
        <f t="shared" si="0"/>
        <v>3954889.998333334</v>
      </c>
      <c r="M35" s="18"/>
    </row>
    <row r="36" spans="2:13" x14ac:dyDescent="0.2">
      <c r="B36" s="325"/>
      <c r="C36" s="122" t="s">
        <v>195</v>
      </c>
      <c r="D36" s="259">
        <v>3613174.9999999995</v>
      </c>
      <c r="E36" s="264">
        <v>2701165</v>
      </c>
      <c r="F36" s="264">
        <v>0</v>
      </c>
      <c r="G36" s="264">
        <v>1837478.3333333335</v>
      </c>
      <c r="H36" s="264">
        <v>3433293.333333334</v>
      </c>
      <c r="I36" s="264">
        <v>267796.66666666669</v>
      </c>
      <c r="J36" s="169">
        <f t="shared" si="0"/>
        <v>4450728.333333333</v>
      </c>
      <c r="M36" s="18"/>
    </row>
    <row r="37" spans="2:13" x14ac:dyDescent="0.2">
      <c r="B37" s="325"/>
      <c r="C37" s="168" t="s">
        <v>196</v>
      </c>
      <c r="D37" s="260">
        <v>4172833.333333334</v>
      </c>
      <c r="E37" s="261">
        <v>2741865.833333334</v>
      </c>
      <c r="F37" s="261">
        <v>0</v>
      </c>
      <c r="G37" s="261">
        <v>1749765</v>
      </c>
      <c r="H37" s="261">
        <v>3230270.0000000005</v>
      </c>
      <c r="I37" s="261">
        <v>264935</v>
      </c>
      <c r="J37" s="170">
        <f>D37+E37+F37+G37-H37-I37</f>
        <v>5169259.1666666679</v>
      </c>
    </row>
    <row r="38" spans="2:13" x14ac:dyDescent="0.2">
      <c r="B38" s="325">
        <v>2019</v>
      </c>
      <c r="C38" s="262" t="s">
        <v>193</v>
      </c>
      <c r="D38" s="257">
        <v>4302768.333333333</v>
      </c>
      <c r="E38" s="263">
        <v>2874955</v>
      </c>
      <c r="F38" s="263">
        <v>0</v>
      </c>
      <c r="G38" s="263">
        <v>1634031.6666666667</v>
      </c>
      <c r="H38" s="263">
        <v>3251654.1666666665</v>
      </c>
      <c r="I38" s="263">
        <v>227423.33333333331</v>
      </c>
      <c r="J38" s="268">
        <v>5332677.5000000019</v>
      </c>
    </row>
    <row r="39" spans="2:13" x14ac:dyDescent="0.2">
      <c r="B39" s="325"/>
      <c r="C39" s="122" t="s">
        <v>194</v>
      </c>
      <c r="D39" s="259">
        <v>4210043.0911500007</v>
      </c>
      <c r="E39" s="264">
        <v>3134482.8366666669</v>
      </c>
      <c r="F39" s="264">
        <v>0</v>
      </c>
      <c r="G39" s="264">
        <v>1622885.9231083333</v>
      </c>
      <c r="H39" s="264">
        <v>3330751.3027750007</v>
      </c>
      <c r="I39" s="264">
        <v>215694.79433333332</v>
      </c>
      <c r="J39" s="169">
        <v>5420965.753816667</v>
      </c>
    </row>
    <row r="40" spans="2:13" x14ac:dyDescent="0.2">
      <c r="B40" s="325"/>
      <c r="C40" s="122" t="s">
        <v>195</v>
      </c>
      <c r="D40" s="259">
        <v>4062042.000266667</v>
      </c>
      <c r="E40" s="264">
        <v>3138330.9041666673</v>
      </c>
      <c r="F40" s="264">
        <v>0</v>
      </c>
      <c r="G40" s="264">
        <v>1612729.9724166666</v>
      </c>
      <c r="H40" s="264">
        <v>3361299.8339249999</v>
      </c>
      <c r="I40" s="264">
        <v>329842.36268333328</v>
      </c>
      <c r="J40" s="169">
        <v>5121960.6802416677</v>
      </c>
    </row>
    <row r="41" spans="2:13" x14ac:dyDescent="0.2">
      <c r="B41" s="325"/>
      <c r="C41" s="168" t="s">
        <v>196</v>
      </c>
      <c r="D41" s="260">
        <v>4606658.5721749999</v>
      </c>
      <c r="E41" s="261">
        <v>3373278.95</v>
      </c>
      <c r="F41" s="261">
        <v>0</v>
      </c>
      <c r="G41" s="261">
        <v>1487733.0732999998</v>
      </c>
      <c r="H41" s="261">
        <v>3955987.9132333337</v>
      </c>
      <c r="I41" s="261">
        <v>334946.02221666666</v>
      </c>
      <c r="J41" s="170">
        <v>5176736.6600249996</v>
      </c>
    </row>
    <row r="42" spans="2:13" x14ac:dyDescent="0.2">
      <c r="B42" s="325">
        <v>2020</v>
      </c>
      <c r="C42" s="262" t="s">
        <v>193</v>
      </c>
      <c r="D42" s="257">
        <v>3308359.1846250007</v>
      </c>
      <c r="E42" s="263">
        <v>3320810.9938416663</v>
      </c>
      <c r="F42" s="263">
        <v>0</v>
      </c>
      <c r="G42" s="263">
        <v>1461985.4802249998</v>
      </c>
      <c r="H42" s="263">
        <v>2825865.7798416666</v>
      </c>
      <c r="I42" s="263">
        <v>366768.18281666667</v>
      </c>
      <c r="J42" s="268">
        <v>5063800.5030333344</v>
      </c>
    </row>
    <row r="43" spans="2:13" x14ac:dyDescent="0.2">
      <c r="B43" s="325"/>
      <c r="C43" s="122" t="s">
        <v>194</v>
      </c>
      <c r="D43" s="259">
        <v>3340901.7927333335</v>
      </c>
      <c r="E43" s="264">
        <v>3490520.3622250003</v>
      </c>
      <c r="F43" s="264">
        <v>0</v>
      </c>
      <c r="G43" s="264">
        <v>1471734.7914249999</v>
      </c>
      <c r="H43" s="264">
        <v>2502893.5385916666</v>
      </c>
      <c r="I43" s="264">
        <v>315355.56628333335</v>
      </c>
      <c r="J43" s="169">
        <v>5656349.4254833329</v>
      </c>
    </row>
    <row r="44" spans="2:13" x14ac:dyDescent="0.2">
      <c r="B44" s="325"/>
      <c r="C44" s="122" t="s">
        <v>195</v>
      </c>
      <c r="D44" s="259">
        <v>4604965.0534833334</v>
      </c>
      <c r="E44" s="264">
        <v>3579685.9526916663</v>
      </c>
      <c r="F44" s="264">
        <v>0</v>
      </c>
      <c r="G44" s="264">
        <v>1362033.8007416667</v>
      </c>
      <c r="H44" s="264">
        <v>3797379.8676166669</v>
      </c>
      <c r="I44" s="264">
        <v>306301.27193333337</v>
      </c>
      <c r="J44" s="169">
        <v>5618260.7389499992</v>
      </c>
    </row>
    <row r="45" spans="2:13" x14ac:dyDescent="0.2">
      <c r="B45" s="325"/>
      <c r="C45" s="168" t="s">
        <v>196</v>
      </c>
      <c r="D45" s="260">
        <v>3985023.8646000004</v>
      </c>
      <c r="E45" s="261">
        <v>3652499.0816750005</v>
      </c>
      <c r="F45" s="261">
        <v>0</v>
      </c>
      <c r="G45" s="261">
        <v>1115404.9715750001</v>
      </c>
      <c r="H45" s="261">
        <v>2740559.6577416668</v>
      </c>
      <c r="I45" s="261">
        <v>304110.62438333337</v>
      </c>
      <c r="J45" s="170">
        <v>5889755.2644816684</v>
      </c>
    </row>
    <row r="46" spans="2:13" x14ac:dyDescent="0.2">
      <c r="B46" s="325">
        <v>2021</v>
      </c>
      <c r="C46" s="262" t="s">
        <v>193</v>
      </c>
      <c r="D46" s="257">
        <v>3835718.8007749999</v>
      </c>
      <c r="E46" s="263">
        <v>3839048.9816833334</v>
      </c>
      <c r="F46" s="263">
        <v>0</v>
      </c>
      <c r="G46" s="263">
        <v>1099415.9306166666</v>
      </c>
      <c r="H46" s="263">
        <v>2731867.3250833335</v>
      </c>
      <c r="I46" s="263">
        <v>311969.5438166667</v>
      </c>
      <c r="J46" s="268">
        <v>5905259.4146316657</v>
      </c>
    </row>
    <row r="47" spans="2:13" x14ac:dyDescent="0.2">
      <c r="B47" s="325"/>
      <c r="C47" s="122" t="s">
        <v>194</v>
      </c>
      <c r="D47" s="259">
        <v>4320084.1191750001</v>
      </c>
      <c r="E47" s="264">
        <v>3863475.7352166665</v>
      </c>
      <c r="F47" s="264">
        <v>0</v>
      </c>
      <c r="G47" s="264">
        <v>1085345.3572833335</v>
      </c>
      <c r="H47" s="264">
        <v>2775743.2153666667</v>
      </c>
      <c r="I47" s="264">
        <v>305638.4945416667</v>
      </c>
      <c r="J47" s="169">
        <v>6366853.633766667</v>
      </c>
    </row>
    <row r="48" spans="2:13" x14ac:dyDescent="0.2">
      <c r="B48" s="325"/>
      <c r="C48" s="122" t="s">
        <v>195</v>
      </c>
      <c r="D48" s="259">
        <v>3686750.3130083331</v>
      </c>
      <c r="E48" s="264">
        <v>4101371.6763250004</v>
      </c>
      <c r="F48" s="264">
        <v>0</v>
      </c>
      <c r="G48" s="264">
        <v>1100266.6258250002</v>
      </c>
      <c r="H48" s="264">
        <v>2937882.0940083335</v>
      </c>
      <c r="I48" s="264">
        <v>310758.49043333333</v>
      </c>
      <c r="J48" s="169">
        <v>5814447.0007166676</v>
      </c>
    </row>
    <row r="49" spans="2:10" x14ac:dyDescent="0.2">
      <c r="B49" s="325"/>
      <c r="C49" s="168" t="s">
        <v>196</v>
      </c>
      <c r="D49" s="260">
        <v>3448258.2425166671</v>
      </c>
      <c r="E49" s="261">
        <v>4314565.2842750009</v>
      </c>
      <c r="F49" s="261">
        <v>0</v>
      </c>
      <c r="G49" s="261">
        <v>1020965.0780416668</v>
      </c>
      <c r="H49" s="261">
        <v>2656290.7117750002</v>
      </c>
      <c r="I49" s="261">
        <v>313125.17551666673</v>
      </c>
      <c r="J49" s="170">
        <v>6005723.3215416679</v>
      </c>
    </row>
    <row r="50" spans="2:10" x14ac:dyDescent="0.2">
      <c r="B50" s="325">
        <v>2022</v>
      </c>
      <c r="C50" s="262" t="s">
        <v>193</v>
      </c>
      <c r="D50" s="257">
        <v>3468042.5869416669</v>
      </c>
      <c r="E50" s="263">
        <v>4132182.1718166675</v>
      </c>
      <c r="F50" s="263">
        <v>0</v>
      </c>
      <c r="G50" s="263">
        <v>951313.79773333331</v>
      </c>
      <c r="H50" s="263">
        <v>2648213.6867666668</v>
      </c>
      <c r="I50" s="263">
        <v>322359.72308333335</v>
      </c>
      <c r="J50" s="268">
        <v>5762887.4616416674</v>
      </c>
    </row>
    <row r="51" spans="2:10" x14ac:dyDescent="0.2">
      <c r="B51" s="325"/>
      <c r="C51" s="122" t="s">
        <v>194</v>
      </c>
      <c r="D51" s="259">
        <v>3660620.5631666672</v>
      </c>
      <c r="E51" s="264">
        <v>3914952.0738166668</v>
      </c>
      <c r="F51" s="264">
        <v>0</v>
      </c>
      <c r="G51" s="264">
        <v>946274.37227499997</v>
      </c>
      <c r="H51" s="264">
        <v>2512799.3624250004</v>
      </c>
      <c r="I51" s="264">
        <v>311038.45920000004</v>
      </c>
      <c r="J51" s="169">
        <v>5880678.7386333337</v>
      </c>
    </row>
    <row r="52" spans="2:10" x14ac:dyDescent="0.2">
      <c r="B52" s="325"/>
      <c r="C52" s="122" t="s">
        <v>195</v>
      </c>
      <c r="D52" s="259">
        <v>3395157.9127416667</v>
      </c>
      <c r="E52" s="264">
        <v>3897692.95695</v>
      </c>
      <c r="F52" s="264">
        <v>0</v>
      </c>
      <c r="G52" s="264">
        <v>937457.89147499995</v>
      </c>
      <c r="H52" s="264">
        <v>2651117.7195500005</v>
      </c>
      <c r="I52" s="264">
        <v>506832.13695000007</v>
      </c>
      <c r="J52" s="169">
        <v>5256306.8516666666</v>
      </c>
    </row>
    <row r="53" spans="2:10" x14ac:dyDescent="0.2">
      <c r="B53" s="325"/>
      <c r="C53" s="168" t="s">
        <v>196</v>
      </c>
      <c r="D53" s="260">
        <v>3322305.4214083338</v>
      </c>
      <c r="E53" s="261">
        <v>4154535.8172499998</v>
      </c>
      <c r="F53" s="261">
        <v>0</v>
      </c>
      <c r="G53" s="261">
        <v>864235.16878333339</v>
      </c>
      <c r="H53" s="261">
        <v>2806748.796016667</v>
      </c>
      <c r="I53" s="261">
        <v>312464.02433333336</v>
      </c>
      <c r="J53" s="170">
        <v>5410878.8360916656</v>
      </c>
    </row>
    <row r="54" spans="2:10" x14ac:dyDescent="0.2">
      <c r="B54" s="325">
        <v>2023</v>
      </c>
      <c r="C54" s="262" t="s">
        <v>193</v>
      </c>
      <c r="D54" s="257">
        <v>3155230.8888583337</v>
      </c>
      <c r="E54" s="263">
        <v>4251466.3106166674</v>
      </c>
      <c r="F54" s="263">
        <v>0</v>
      </c>
      <c r="G54" s="263">
        <v>851282.10445833334</v>
      </c>
      <c r="H54" s="263">
        <v>2833318.9647083338</v>
      </c>
      <c r="I54" s="263">
        <v>321933.57111666672</v>
      </c>
      <c r="J54" s="268">
        <v>5279964.1411083341</v>
      </c>
    </row>
    <row r="55" spans="2:10" x14ac:dyDescent="0.2">
      <c r="B55" s="325"/>
      <c r="C55" s="122" t="s">
        <v>194</v>
      </c>
      <c r="D55" s="259">
        <v>3494331.062533333</v>
      </c>
      <c r="E55" s="264">
        <v>4386126.2834250005</v>
      </c>
      <c r="F55" s="264">
        <v>0</v>
      </c>
      <c r="G55" s="264">
        <v>785660.51979166688</v>
      </c>
      <c r="H55" s="264">
        <v>2935775.0523666665</v>
      </c>
      <c r="I55" s="264">
        <v>356542.91345000005</v>
      </c>
      <c r="J55" s="169">
        <v>5553311.8359333342</v>
      </c>
    </row>
    <row r="56" spans="2:10" x14ac:dyDescent="0.2">
      <c r="B56" s="325"/>
      <c r="C56" s="122" t="s">
        <v>195</v>
      </c>
      <c r="D56" s="259">
        <v>3189810.8647333332</v>
      </c>
      <c r="E56" s="264">
        <v>4127353.9899666668</v>
      </c>
      <c r="F56" s="264">
        <v>0</v>
      </c>
      <c r="G56" s="264">
        <v>782702.4753666668</v>
      </c>
      <c r="H56" s="264">
        <v>2834688.5553416666</v>
      </c>
      <c r="I56" s="264">
        <v>352778.66012500005</v>
      </c>
      <c r="J56" s="169">
        <v>5089268.2866000012</v>
      </c>
    </row>
    <row r="57" spans="2:10" x14ac:dyDescent="0.2">
      <c r="B57" s="325"/>
      <c r="C57" s="168" t="s">
        <v>196</v>
      </c>
      <c r="D57" s="260">
        <v>3343189.7296916666</v>
      </c>
      <c r="E57" s="261">
        <v>4108202.4464083333</v>
      </c>
      <c r="F57" s="261">
        <v>0</v>
      </c>
      <c r="G57" s="261">
        <v>762670.89465833327</v>
      </c>
      <c r="H57" s="261">
        <v>2757500.452875</v>
      </c>
      <c r="I57" s="261">
        <v>462156.48704166664</v>
      </c>
      <c r="J57" s="170">
        <v>5190498.1228416665</v>
      </c>
    </row>
    <row r="58" spans="2:10" x14ac:dyDescent="0.2">
      <c r="B58" s="265"/>
      <c r="C58" s="122"/>
      <c r="D58" s="264"/>
      <c r="E58" s="264"/>
      <c r="F58" s="264"/>
      <c r="G58" s="264"/>
      <c r="H58" s="264"/>
      <c r="I58" s="264"/>
      <c r="J58" s="169"/>
    </row>
    <row r="60" spans="2:10" x14ac:dyDescent="0.2">
      <c r="B60" s="129" t="s">
        <v>223</v>
      </c>
    </row>
  </sheetData>
  <mergeCells count="17">
    <mergeCell ref="B42:B45"/>
    <mergeCell ref="B38:B41"/>
    <mergeCell ref="B54:B57"/>
    <mergeCell ref="B50:B53"/>
    <mergeCell ref="J11:J12"/>
    <mergeCell ref="B46:B49"/>
    <mergeCell ref="C6:I6"/>
    <mergeCell ref="B34:B37"/>
    <mergeCell ref="B14:B17"/>
    <mergeCell ref="D11:G11"/>
    <mergeCell ref="B30:B33"/>
    <mergeCell ref="D10:J10"/>
    <mergeCell ref="B18:B21"/>
    <mergeCell ref="B22:B25"/>
    <mergeCell ref="B26:B29"/>
    <mergeCell ref="D13:J13"/>
    <mergeCell ref="H11:I11"/>
  </mergeCells>
  <pageMargins left="0.7" right="0.7" top="0.75" bottom="0.75" header="0.3" footer="0.3"/>
  <pageSetup scale="7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652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200025</xdr:colOff>
                <xdr:row>3</xdr:row>
                <xdr:rowOff>95250</xdr:rowOff>
              </to>
            </anchor>
          </objectPr>
        </oleObject>
      </mc:Choice>
      <mc:Fallback>
        <oleObject progId="MSPhotoEd.3" shapeId="40652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61"/>
  <sheetViews>
    <sheetView topLeftCell="A4" zoomScaleNormal="100" workbookViewId="0">
      <pane ySplit="10" topLeftCell="A14" activePane="bottomLeft" state="frozen"/>
      <selection activeCell="A4" sqref="A4"/>
      <selection pane="bottomLeft" activeCell="A4" sqref="A1:XFD1048576"/>
    </sheetView>
  </sheetViews>
  <sheetFormatPr defaultRowHeight="12.75" x14ac:dyDescent="0.2"/>
  <cols>
    <col min="1" max="3" width="9.140625" style="17"/>
    <col min="4" max="4" width="11.5703125" style="17" customWidth="1"/>
    <col min="5" max="5" width="10.28515625" style="17" bestFit="1" customWidth="1"/>
    <col min="6" max="6" width="13.85546875" style="17" bestFit="1" customWidth="1"/>
    <col min="7" max="7" width="11.5703125" style="17" customWidth="1"/>
    <col min="8" max="9" width="10.28515625" style="17" bestFit="1" customWidth="1"/>
    <col min="10" max="16384" width="9.140625" style="17"/>
  </cols>
  <sheetData>
    <row r="2" spans="2:10" x14ac:dyDescent="0.2">
      <c r="G2" s="140" t="s">
        <v>249</v>
      </c>
    </row>
    <row r="6" spans="2:10" ht="15.75" x14ac:dyDescent="0.25">
      <c r="B6" s="144">
        <v>12.04</v>
      </c>
      <c r="C6" s="311" t="s">
        <v>257</v>
      </c>
      <c r="D6" s="311"/>
      <c r="E6" s="311"/>
      <c r="F6" s="311"/>
      <c r="G6" s="311"/>
      <c r="H6" s="311"/>
      <c r="I6" s="311"/>
      <c r="J6" s="220"/>
    </row>
    <row r="7" spans="2:10" x14ac:dyDescent="0.2">
      <c r="B7" s="25"/>
      <c r="C7" s="25"/>
    </row>
    <row r="11" spans="2:10" x14ac:dyDescent="0.2">
      <c r="D11" s="320" t="s">
        <v>218</v>
      </c>
      <c r="E11" s="326"/>
      <c r="F11" s="326"/>
      <c r="G11" s="328" t="s">
        <v>219</v>
      </c>
      <c r="H11" s="328"/>
      <c r="I11" s="328"/>
    </row>
    <row r="12" spans="2:10" x14ac:dyDescent="0.2">
      <c r="D12" s="322"/>
      <c r="E12" s="327"/>
      <c r="F12" s="327"/>
      <c r="G12" s="328"/>
      <c r="H12" s="328"/>
      <c r="I12" s="328"/>
    </row>
    <row r="13" spans="2:10" ht="31.9" customHeight="1" x14ac:dyDescent="0.2">
      <c r="D13" s="255" t="s">
        <v>215</v>
      </c>
      <c r="E13" s="255" t="s">
        <v>216</v>
      </c>
      <c r="F13" s="269" t="s">
        <v>214</v>
      </c>
      <c r="G13" s="255" t="s">
        <v>215</v>
      </c>
      <c r="H13" s="255" t="s">
        <v>216</v>
      </c>
      <c r="I13" s="255" t="s">
        <v>217</v>
      </c>
    </row>
    <row r="14" spans="2:10" x14ac:dyDescent="0.2">
      <c r="D14" s="324" t="s">
        <v>198</v>
      </c>
      <c r="E14" s="324"/>
      <c r="F14" s="324"/>
      <c r="G14" s="324"/>
      <c r="H14" s="324"/>
      <c r="I14" s="324"/>
    </row>
    <row r="15" spans="2:10" x14ac:dyDescent="0.2">
      <c r="B15" s="331">
        <v>2013</v>
      </c>
      <c r="C15" s="270" t="s">
        <v>193</v>
      </c>
      <c r="D15" s="263">
        <v>5441794.166666667</v>
      </c>
      <c r="E15" s="263">
        <v>3255695</v>
      </c>
      <c r="F15" s="263">
        <f t="shared" ref="F15:F34" si="0">D15+E15</f>
        <v>8697489.1666666679</v>
      </c>
      <c r="G15" s="263">
        <v>3006637.5000000005</v>
      </c>
      <c r="H15" s="263">
        <v>1299024.1666666667</v>
      </c>
      <c r="I15" s="263">
        <f t="shared" ref="I15:I34" si="1">G15+H15</f>
        <v>4305661.666666667</v>
      </c>
    </row>
    <row r="16" spans="2:10" x14ac:dyDescent="0.2">
      <c r="B16" s="331"/>
      <c r="C16" s="270" t="s">
        <v>194</v>
      </c>
      <c r="D16" s="264">
        <v>5221440.833333334</v>
      </c>
      <c r="E16" s="264">
        <v>3065187.5</v>
      </c>
      <c r="F16" s="264">
        <f t="shared" si="0"/>
        <v>8286628.333333334</v>
      </c>
      <c r="G16" s="264">
        <v>2980108.3333333335</v>
      </c>
      <c r="H16" s="264">
        <v>716272.5</v>
      </c>
      <c r="I16" s="264">
        <f t="shared" si="1"/>
        <v>3696380.8333333335</v>
      </c>
    </row>
    <row r="17" spans="2:9" x14ac:dyDescent="0.2">
      <c r="B17" s="331"/>
      <c r="C17" s="270" t="s">
        <v>195</v>
      </c>
      <c r="D17" s="264">
        <v>5176465.833333334</v>
      </c>
      <c r="E17" s="264">
        <v>2795552.5</v>
      </c>
      <c r="F17" s="264">
        <f t="shared" si="0"/>
        <v>7972018.333333334</v>
      </c>
      <c r="G17" s="264">
        <v>2933335.8333333335</v>
      </c>
      <c r="H17" s="264">
        <v>821454.16666666674</v>
      </c>
      <c r="I17" s="264">
        <f t="shared" si="1"/>
        <v>3754790</v>
      </c>
    </row>
    <row r="18" spans="2:9" x14ac:dyDescent="0.2">
      <c r="B18" s="331"/>
      <c r="C18" s="270" t="s">
        <v>196</v>
      </c>
      <c r="D18" s="261">
        <v>5792222.5</v>
      </c>
      <c r="E18" s="261">
        <v>2815620</v>
      </c>
      <c r="F18" s="261">
        <f t="shared" si="0"/>
        <v>8607842.5</v>
      </c>
      <c r="G18" s="261">
        <v>2974690.8333333335</v>
      </c>
      <c r="H18" s="261">
        <v>864035.83333333337</v>
      </c>
      <c r="I18" s="261">
        <f t="shared" si="1"/>
        <v>3838726.666666667</v>
      </c>
    </row>
    <row r="19" spans="2:9" x14ac:dyDescent="0.2">
      <c r="B19" s="331">
        <v>2014</v>
      </c>
      <c r="C19" s="270" t="s">
        <v>193</v>
      </c>
      <c r="D19" s="263">
        <v>5559188.333333334</v>
      </c>
      <c r="E19" s="263">
        <v>2644537.5</v>
      </c>
      <c r="F19" s="263">
        <f t="shared" si="0"/>
        <v>8203725.833333334</v>
      </c>
      <c r="G19" s="263">
        <v>2957130</v>
      </c>
      <c r="H19" s="263">
        <v>893534.16666666674</v>
      </c>
      <c r="I19" s="263">
        <f t="shared" si="1"/>
        <v>3850664.166666667</v>
      </c>
    </row>
    <row r="20" spans="2:9" x14ac:dyDescent="0.2">
      <c r="B20" s="331"/>
      <c r="C20" s="270" t="s">
        <v>194</v>
      </c>
      <c r="D20" s="264">
        <v>5266235</v>
      </c>
      <c r="E20" s="264">
        <v>2626682.5</v>
      </c>
      <c r="F20" s="264">
        <f t="shared" si="0"/>
        <v>7892917.5</v>
      </c>
      <c r="G20" s="264">
        <v>2994020.8333333335</v>
      </c>
      <c r="H20" s="264">
        <v>892127.5</v>
      </c>
      <c r="I20" s="264">
        <f t="shared" si="1"/>
        <v>3886148.3333333335</v>
      </c>
    </row>
    <row r="21" spans="2:9" x14ac:dyDescent="0.2">
      <c r="B21" s="331"/>
      <c r="C21" s="270" t="s">
        <v>195</v>
      </c>
      <c r="D21" s="264">
        <v>5050810.833333334</v>
      </c>
      <c r="E21" s="264">
        <v>2628594.166666667</v>
      </c>
      <c r="F21" s="264">
        <f t="shared" si="0"/>
        <v>7679405.0000000009</v>
      </c>
      <c r="G21" s="264">
        <v>3010871.6666666665</v>
      </c>
      <c r="H21" s="264">
        <v>827419.16666666674</v>
      </c>
      <c r="I21" s="264">
        <f t="shared" si="1"/>
        <v>3838290.833333333</v>
      </c>
    </row>
    <row r="22" spans="2:9" x14ac:dyDescent="0.2">
      <c r="B22" s="331"/>
      <c r="C22" s="270" t="s">
        <v>196</v>
      </c>
      <c r="D22" s="261">
        <v>4836892.5</v>
      </c>
      <c r="E22" s="261">
        <v>2806760</v>
      </c>
      <c r="F22" s="261">
        <f t="shared" si="0"/>
        <v>7643652.5</v>
      </c>
      <c r="G22" s="261">
        <v>2971232.5000000005</v>
      </c>
      <c r="H22" s="261">
        <v>897188.33333333337</v>
      </c>
      <c r="I22" s="261">
        <f t="shared" si="1"/>
        <v>3868420.833333334</v>
      </c>
    </row>
    <row r="23" spans="2:9" x14ac:dyDescent="0.2">
      <c r="B23" s="331">
        <v>2015</v>
      </c>
      <c r="C23" s="270" t="s">
        <v>193</v>
      </c>
      <c r="D23" s="263">
        <v>4814313.333333334</v>
      </c>
      <c r="E23" s="263">
        <v>2906675</v>
      </c>
      <c r="F23" s="263">
        <f t="shared" si="0"/>
        <v>7720988.333333334</v>
      </c>
      <c r="G23" s="263">
        <v>2915870</v>
      </c>
      <c r="H23" s="263">
        <v>815971.66666666674</v>
      </c>
      <c r="I23" s="263">
        <f t="shared" si="1"/>
        <v>3731841.666666667</v>
      </c>
    </row>
    <row r="24" spans="2:9" x14ac:dyDescent="0.2">
      <c r="B24" s="331"/>
      <c r="C24" s="270" t="s">
        <v>194</v>
      </c>
      <c r="D24" s="264">
        <v>4921520</v>
      </c>
      <c r="E24" s="264">
        <v>2797320</v>
      </c>
      <c r="F24" s="264">
        <f t="shared" si="0"/>
        <v>7718840</v>
      </c>
      <c r="G24" s="264">
        <v>2946035.8333333335</v>
      </c>
      <c r="H24" s="264">
        <v>820903.33333333337</v>
      </c>
      <c r="I24" s="264">
        <f t="shared" si="1"/>
        <v>3766939.166666667</v>
      </c>
    </row>
    <row r="25" spans="2:9" x14ac:dyDescent="0.2">
      <c r="B25" s="331"/>
      <c r="C25" s="270" t="s">
        <v>195</v>
      </c>
      <c r="D25" s="264">
        <v>5354460</v>
      </c>
      <c r="E25" s="264">
        <v>4168993.3333333335</v>
      </c>
      <c r="F25" s="264">
        <f t="shared" si="0"/>
        <v>9523453.333333334</v>
      </c>
      <c r="G25" s="264">
        <v>3008930.0000000005</v>
      </c>
      <c r="H25" s="264">
        <v>2537550</v>
      </c>
      <c r="I25" s="264">
        <f t="shared" si="1"/>
        <v>5546480</v>
      </c>
    </row>
    <row r="26" spans="2:9" x14ac:dyDescent="0.2">
      <c r="B26" s="331"/>
      <c r="C26" s="270" t="s">
        <v>196</v>
      </c>
      <c r="D26" s="261">
        <v>5790253.333333334</v>
      </c>
      <c r="E26" s="261">
        <v>4549055.833333334</v>
      </c>
      <c r="F26" s="261">
        <f t="shared" si="0"/>
        <v>10339309.166666668</v>
      </c>
      <c r="G26" s="261">
        <v>2981218.3333333335</v>
      </c>
      <c r="H26" s="261">
        <v>2946961.666666667</v>
      </c>
      <c r="I26" s="261">
        <f t="shared" si="1"/>
        <v>5928180</v>
      </c>
    </row>
    <row r="27" spans="2:9" x14ac:dyDescent="0.2">
      <c r="B27" s="331">
        <v>2016</v>
      </c>
      <c r="C27" s="270" t="s">
        <v>193</v>
      </c>
      <c r="D27" s="263">
        <v>6013620.833333334</v>
      </c>
      <c r="E27" s="263">
        <v>4296330</v>
      </c>
      <c r="F27" s="263">
        <f t="shared" si="0"/>
        <v>10309950.833333334</v>
      </c>
      <c r="G27" s="263">
        <v>2954648.3333333335</v>
      </c>
      <c r="H27" s="263">
        <v>3009025</v>
      </c>
      <c r="I27" s="263">
        <f t="shared" si="1"/>
        <v>5963673.333333334</v>
      </c>
    </row>
    <row r="28" spans="2:9" x14ac:dyDescent="0.2">
      <c r="B28" s="331"/>
      <c r="C28" s="270" t="s">
        <v>194</v>
      </c>
      <c r="D28" s="264">
        <v>5794616.666666667</v>
      </c>
      <c r="E28" s="264">
        <v>4498472.5</v>
      </c>
      <c r="F28" s="264">
        <f t="shared" si="0"/>
        <v>10293089.166666668</v>
      </c>
      <c r="G28" s="264">
        <v>2983150</v>
      </c>
      <c r="H28" s="264">
        <v>3002696.666666667</v>
      </c>
      <c r="I28" s="264">
        <f t="shared" si="1"/>
        <v>5985846.666666667</v>
      </c>
    </row>
    <row r="29" spans="2:9" x14ac:dyDescent="0.2">
      <c r="B29" s="331"/>
      <c r="C29" s="270" t="s">
        <v>195</v>
      </c>
      <c r="D29" s="264">
        <v>5711267.6268100003</v>
      </c>
      <c r="E29" s="264">
        <v>4424934.166666667</v>
      </c>
      <c r="F29" s="264">
        <f t="shared" si="0"/>
        <v>10136201.793476667</v>
      </c>
      <c r="G29" s="264">
        <v>3066403.3333333335</v>
      </c>
      <c r="H29" s="264">
        <v>2902913.3333333335</v>
      </c>
      <c r="I29" s="264">
        <f t="shared" si="1"/>
        <v>5969316.666666667</v>
      </c>
    </row>
    <row r="30" spans="2:9" x14ac:dyDescent="0.2">
      <c r="B30" s="331"/>
      <c r="C30" s="270" t="s">
        <v>196</v>
      </c>
      <c r="D30" s="261">
        <v>6039650.0000000009</v>
      </c>
      <c r="E30" s="261">
        <v>4322721.666666666</v>
      </c>
      <c r="F30" s="261">
        <f t="shared" si="0"/>
        <v>10362371.666666668</v>
      </c>
      <c r="G30" s="261">
        <v>3083885.0000000005</v>
      </c>
      <c r="H30" s="261">
        <v>2652303.3333333335</v>
      </c>
      <c r="I30" s="261">
        <f t="shared" si="1"/>
        <v>5736188.333333334</v>
      </c>
    </row>
    <row r="31" spans="2:9" x14ac:dyDescent="0.2">
      <c r="B31" s="331">
        <v>2017</v>
      </c>
      <c r="C31" s="270" t="s">
        <v>193</v>
      </c>
      <c r="D31" s="263">
        <v>6148102.6268100012</v>
      </c>
      <c r="E31" s="263">
        <v>4351070.0000000009</v>
      </c>
      <c r="F31" s="263">
        <f t="shared" si="0"/>
        <v>10499172.626810003</v>
      </c>
      <c r="G31" s="263">
        <v>2957356.6761757354</v>
      </c>
      <c r="H31" s="263">
        <v>2815450.0000000009</v>
      </c>
      <c r="I31" s="263">
        <f t="shared" si="1"/>
        <v>5772806.6761757359</v>
      </c>
    </row>
    <row r="32" spans="2:9" x14ac:dyDescent="0.2">
      <c r="B32" s="331"/>
      <c r="C32" s="270" t="s">
        <v>194</v>
      </c>
      <c r="D32" s="264">
        <v>6351023.4601433342</v>
      </c>
      <c r="E32" s="264">
        <v>4078155.8333333335</v>
      </c>
      <c r="F32" s="264">
        <f t="shared" si="0"/>
        <v>10429179.293476667</v>
      </c>
      <c r="G32" s="264">
        <v>2951221.6678424026</v>
      </c>
      <c r="H32" s="264">
        <v>2503897.5</v>
      </c>
      <c r="I32" s="264">
        <f t="shared" si="1"/>
        <v>5455119.1678424031</v>
      </c>
    </row>
    <row r="33" spans="2:9" x14ac:dyDescent="0.2">
      <c r="B33" s="331"/>
      <c r="C33" s="270" t="s">
        <v>195</v>
      </c>
      <c r="D33" s="264">
        <v>6388718.333333334</v>
      </c>
      <c r="E33" s="264">
        <v>4347245.833333333</v>
      </c>
      <c r="F33" s="264">
        <f t="shared" si="0"/>
        <v>10735964.166666668</v>
      </c>
      <c r="G33" s="264">
        <v>2998730.0000000005</v>
      </c>
      <c r="H33" s="264">
        <v>2394679.166666667</v>
      </c>
      <c r="I33" s="264">
        <f t="shared" si="1"/>
        <v>5393409.1666666679</v>
      </c>
    </row>
    <row r="34" spans="2:9" x14ac:dyDescent="0.2">
      <c r="B34" s="331"/>
      <c r="C34" s="270" t="s">
        <v>196</v>
      </c>
      <c r="D34" s="261">
        <v>7166311.7934766673</v>
      </c>
      <c r="E34" s="261">
        <v>3752735.8333333335</v>
      </c>
      <c r="F34" s="261">
        <f t="shared" si="0"/>
        <v>10919047.626810001</v>
      </c>
      <c r="G34" s="261">
        <v>3188543.333333333</v>
      </c>
      <c r="H34" s="261">
        <v>2015921.6666666667</v>
      </c>
      <c r="I34" s="261">
        <f t="shared" si="1"/>
        <v>5204465</v>
      </c>
    </row>
    <row r="35" spans="2:9" x14ac:dyDescent="0.2">
      <c r="B35" s="331">
        <v>2018</v>
      </c>
      <c r="C35" s="270" t="s">
        <v>193</v>
      </c>
      <c r="D35" s="263">
        <v>7095600.833333334</v>
      </c>
      <c r="E35" s="263">
        <v>3926622.5</v>
      </c>
      <c r="F35" s="263">
        <f t="shared" ref="F35:F58" si="2">(D35+E35)</f>
        <v>11022223.333333334</v>
      </c>
      <c r="G35" s="263">
        <v>3373270.833333333</v>
      </c>
      <c r="H35" s="263">
        <v>1858923.3333333335</v>
      </c>
      <c r="I35" s="263">
        <f t="shared" ref="I35:I52" si="3">(G35+H35)</f>
        <v>5232194.166666666</v>
      </c>
    </row>
    <row r="36" spans="2:9" x14ac:dyDescent="0.2">
      <c r="B36" s="331"/>
      <c r="C36" s="270" t="s">
        <v>194</v>
      </c>
      <c r="D36" s="264">
        <v>6570358.3915833337</v>
      </c>
      <c r="E36" s="264">
        <v>3776491.2324999999</v>
      </c>
      <c r="F36" s="264">
        <f t="shared" si="2"/>
        <v>10346849.624083333</v>
      </c>
      <c r="G36" s="264">
        <v>3691895.3058333336</v>
      </c>
      <c r="H36" s="264">
        <v>1582738.6983333332</v>
      </c>
      <c r="I36" s="264">
        <f t="shared" si="3"/>
        <v>5274634.0041666664</v>
      </c>
    </row>
    <row r="37" spans="2:9" x14ac:dyDescent="0.2">
      <c r="B37" s="331"/>
      <c r="C37" s="270" t="s">
        <v>195</v>
      </c>
      <c r="D37" s="264">
        <v>6525949.5282500004</v>
      </c>
      <c r="E37" s="264">
        <v>3433293.333333334</v>
      </c>
      <c r="F37" s="264">
        <f t="shared" si="2"/>
        <v>9959242.8615833335</v>
      </c>
      <c r="G37" s="264">
        <v>3247970.8333333335</v>
      </c>
      <c r="H37" s="264">
        <v>1837478.3333333335</v>
      </c>
      <c r="I37" s="264">
        <f t="shared" si="3"/>
        <v>5085449.166666667</v>
      </c>
    </row>
    <row r="38" spans="2:9" x14ac:dyDescent="0.2">
      <c r="B38" s="331"/>
      <c r="C38" s="270" t="s">
        <v>196</v>
      </c>
      <c r="D38" s="261">
        <v>7247880.0341666667</v>
      </c>
      <c r="E38" s="261">
        <v>3230270.0000000005</v>
      </c>
      <c r="F38" s="261">
        <f t="shared" si="2"/>
        <v>10478150.034166668</v>
      </c>
      <c r="G38" s="261">
        <v>3066325.0000000005</v>
      </c>
      <c r="H38" s="261">
        <v>1749765</v>
      </c>
      <c r="I38" s="261">
        <f t="shared" si="3"/>
        <v>4816090</v>
      </c>
    </row>
    <row r="39" spans="2:9" x14ac:dyDescent="0.2">
      <c r="B39" s="331">
        <v>2019</v>
      </c>
      <c r="C39" s="270" t="s">
        <v>193</v>
      </c>
      <c r="D39" s="263">
        <v>7228433.333333333</v>
      </c>
      <c r="E39" s="263">
        <v>3251654.1666666665</v>
      </c>
      <c r="F39" s="263">
        <f t="shared" si="2"/>
        <v>10480087.5</v>
      </c>
      <c r="G39" s="263">
        <v>3125855</v>
      </c>
      <c r="H39" s="263">
        <v>1634031.6666666667</v>
      </c>
      <c r="I39" s="263">
        <f t="shared" si="3"/>
        <v>4759886.666666667</v>
      </c>
    </row>
    <row r="40" spans="2:9" x14ac:dyDescent="0.2">
      <c r="B40" s="331"/>
      <c r="C40" s="270" t="s">
        <v>194</v>
      </c>
      <c r="D40" s="264">
        <v>7272333.7109250007</v>
      </c>
      <c r="E40" s="264">
        <v>3330751.3027750007</v>
      </c>
      <c r="F40" s="264">
        <f t="shared" si="2"/>
        <v>10603085.013700001</v>
      </c>
      <c r="G40" s="264">
        <v>3125940.5958333337</v>
      </c>
      <c r="H40" s="264">
        <v>1622885.9231083333</v>
      </c>
      <c r="I40" s="264">
        <f t="shared" si="3"/>
        <v>4748826.5189416669</v>
      </c>
    </row>
    <row r="41" spans="2:9" x14ac:dyDescent="0.2">
      <c r="B41" s="331"/>
      <c r="C41" s="270" t="s">
        <v>195</v>
      </c>
      <c r="D41" s="264">
        <v>7057656.8238749998</v>
      </c>
      <c r="E41" s="264">
        <v>3361299.8339249999</v>
      </c>
      <c r="F41" s="264">
        <f t="shared" si="2"/>
        <v>10418956.6578</v>
      </c>
      <c r="G41" s="264">
        <v>3135487.7541666669</v>
      </c>
      <c r="H41" s="264">
        <v>1612729.9724166666</v>
      </c>
      <c r="I41" s="264">
        <f t="shared" si="3"/>
        <v>4748217.7265833337</v>
      </c>
    </row>
    <row r="42" spans="2:9" x14ac:dyDescent="0.2">
      <c r="B42" s="331"/>
      <c r="C42" s="270" t="s">
        <v>196</v>
      </c>
      <c r="D42" s="261">
        <v>7425823.0387833333</v>
      </c>
      <c r="E42" s="261">
        <v>3955987.9132333337</v>
      </c>
      <c r="F42" s="261">
        <f t="shared" si="2"/>
        <v>11381810.952016667</v>
      </c>
      <c r="G42" s="261">
        <v>3300890.6300000004</v>
      </c>
      <c r="H42" s="261">
        <v>1487733.0732999998</v>
      </c>
      <c r="I42" s="261">
        <f t="shared" si="3"/>
        <v>4788623.7033000002</v>
      </c>
    </row>
    <row r="43" spans="2:9" x14ac:dyDescent="0.2">
      <c r="B43" s="331">
        <v>2020</v>
      </c>
      <c r="C43" s="270" t="s">
        <v>193</v>
      </c>
      <c r="D43" s="263">
        <v>7306651.8896000013</v>
      </c>
      <c r="E43" s="263">
        <v>2825865.7798416666</v>
      </c>
      <c r="F43" s="263">
        <f t="shared" si="2"/>
        <v>10132517.669441668</v>
      </c>
      <c r="G43" s="263">
        <v>3405350.9388083336</v>
      </c>
      <c r="H43" s="263">
        <v>1461985.4802249998</v>
      </c>
      <c r="I43" s="263">
        <f t="shared" si="3"/>
        <v>4867336.4190333337</v>
      </c>
    </row>
    <row r="44" spans="2:9" x14ac:dyDescent="0.2">
      <c r="B44" s="331"/>
      <c r="C44" s="270" t="s">
        <v>194</v>
      </c>
      <c r="D44" s="264">
        <v>7822049.415533334</v>
      </c>
      <c r="E44" s="264">
        <v>2502893.5385916666</v>
      </c>
      <c r="F44" s="264">
        <f t="shared" si="2"/>
        <v>10324942.954125</v>
      </c>
      <c r="G44" s="264">
        <v>3350876.4334250004</v>
      </c>
      <c r="H44" s="264">
        <v>1471734.7914249999</v>
      </c>
      <c r="I44" s="264">
        <f t="shared" si="3"/>
        <v>4822611.2248500008</v>
      </c>
    </row>
    <row r="45" spans="2:9" x14ac:dyDescent="0.2">
      <c r="B45" s="331"/>
      <c r="C45" s="270" t="s">
        <v>195</v>
      </c>
      <c r="D45" s="264">
        <v>7745900.9524249993</v>
      </c>
      <c r="E45" s="264">
        <v>3797379.8676166669</v>
      </c>
      <c r="F45" s="264">
        <f t="shared" si="2"/>
        <v>11543280.820041666</v>
      </c>
      <c r="G45" s="264">
        <v>3391031.9444000004</v>
      </c>
      <c r="H45" s="264">
        <v>1362033.8007416667</v>
      </c>
      <c r="I45" s="264">
        <f t="shared" si="3"/>
        <v>4753065.7451416673</v>
      </c>
    </row>
    <row r="46" spans="2:9" x14ac:dyDescent="0.2">
      <c r="B46" s="331"/>
      <c r="C46" s="270" t="s">
        <v>196</v>
      </c>
      <c r="D46" s="261">
        <v>8025349.4077250008</v>
      </c>
      <c r="E46" s="261">
        <v>2740559.6577416668</v>
      </c>
      <c r="F46" s="261">
        <f t="shared" si="2"/>
        <v>10765909.065466668</v>
      </c>
      <c r="G46" s="261">
        <v>3432935.0895083332</v>
      </c>
      <c r="H46" s="261">
        <v>1115404.9715750001</v>
      </c>
      <c r="I46" s="261">
        <f t="shared" si="3"/>
        <v>4548340.0610833336</v>
      </c>
    </row>
    <row r="47" spans="2:9" x14ac:dyDescent="0.2">
      <c r="B47" s="331">
        <v>2021</v>
      </c>
      <c r="C47" s="270" t="s">
        <v>193</v>
      </c>
      <c r="D47" s="263">
        <v>8228577.4923249995</v>
      </c>
      <c r="E47" s="263">
        <v>2731867.3250833335</v>
      </c>
      <c r="F47" s="263">
        <f>(D47+E47)</f>
        <v>10960444.817408333</v>
      </c>
      <c r="G47" s="263">
        <v>3463681.9566000002</v>
      </c>
      <c r="H47" s="263">
        <v>1099415.9306166666</v>
      </c>
      <c r="I47" s="263">
        <f t="shared" si="3"/>
        <v>4563097.8872166667</v>
      </c>
    </row>
    <row r="48" spans="2:9" x14ac:dyDescent="0.2">
      <c r="B48" s="331"/>
      <c r="C48" s="270" t="s">
        <v>194</v>
      </c>
      <c r="D48" s="264">
        <v>8731862.1013333332</v>
      </c>
      <c r="E48" s="264">
        <v>2775743.2153666667</v>
      </c>
      <c r="F48" s="264">
        <f t="shared" si="2"/>
        <v>11507605.3167</v>
      </c>
      <c r="G48" s="264">
        <v>3544188.1627750001</v>
      </c>
      <c r="H48" s="264">
        <v>1085345.3572833335</v>
      </c>
      <c r="I48" s="264">
        <f t="shared" si="3"/>
        <v>4629533.5200583339</v>
      </c>
    </row>
    <row r="49" spans="2:9" x14ac:dyDescent="0.2">
      <c r="B49" s="331"/>
      <c r="C49" s="270" t="s">
        <v>195</v>
      </c>
      <c r="D49" s="264">
        <v>8278059.9537416678</v>
      </c>
      <c r="E49" s="264">
        <v>2937882.0940083335</v>
      </c>
      <c r="F49" s="264">
        <f t="shared" si="2"/>
        <v>11215942.047750002</v>
      </c>
      <c r="G49" s="264">
        <v>3650147.6731166667</v>
      </c>
      <c r="H49" s="264">
        <v>1100266.6258250002</v>
      </c>
      <c r="I49" s="264">
        <f>(G49+H49)</f>
        <v>4750414.2989416672</v>
      </c>
    </row>
    <row r="50" spans="2:9" x14ac:dyDescent="0.2">
      <c r="B50" s="331"/>
      <c r="C50" s="270" t="s">
        <v>196</v>
      </c>
      <c r="D50" s="261">
        <v>8486663.8286666684</v>
      </c>
      <c r="E50" s="261">
        <v>2656290.7117750002</v>
      </c>
      <c r="F50" s="261">
        <f t="shared" si="2"/>
        <v>11142954.54044167</v>
      </c>
      <c r="G50" s="261">
        <v>3679694.7863083333</v>
      </c>
      <c r="H50" s="261">
        <v>1020965.0780416668</v>
      </c>
      <c r="I50" s="261">
        <f t="shared" si="3"/>
        <v>4700659.8643500004</v>
      </c>
    </row>
    <row r="51" spans="2:9" x14ac:dyDescent="0.2">
      <c r="B51" s="331">
        <v>2022</v>
      </c>
      <c r="C51" s="270" t="s">
        <v>193</v>
      </c>
      <c r="D51" s="263">
        <v>8391762.5779083334</v>
      </c>
      <c r="E51" s="263">
        <v>2648213.6867666668</v>
      </c>
      <c r="F51" s="263">
        <f>(D51+E51)</f>
        <v>11039976.264675001</v>
      </c>
      <c r="G51" s="263">
        <v>3756634.6221916666</v>
      </c>
      <c r="H51" s="263">
        <v>951313.79773333331</v>
      </c>
      <c r="I51" s="263">
        <f t="shared" si="3"/>
        <v>4707948.4199249996</v>
      </c>
    </row>
    <row r="52" spans="2:9" x14ac:dyDescent="0.2">
      <c r="B52" s="331"/>
      <c r="C52" s="270" t="s">
        <v>194</v>
      </c>
      <c r="D52" s="264">
        <v>8756184.8452000022</v>
      </c>
      <c r="E52" s="264">
        <v>2512799.3624250004</v>
      </c>
      <c r="F52" s="264">
        <f t="shared" si="2"/>
        <v>11268984.207625002</v>
      </c>
      <c r="G52" s="264">
        <v>4077046.8053166671</v>
      </c>
      <c r="H52" s="264">
        <v>946274.37227499997</v>
      </c>
      <c r="I52" s="264">
        <f t="shared" si="3"/>
        <v>5023321.1775916666</v>
      </c>
    </row>
    <row r="53" spans="2:9" x14ac:dyDescent="0.2">
      <c r="B53" s="331"/>
      <c r="C53" s="270" t="s">
        <v>195</v>
      </c>
      <c r="D53" s="264">
        <v>8252237.2615166679</v>
      </c>
      <c r="E53" s="264">
        <v>2651117.7195500005</v>
      </c>
      <c r="F53" s="264">
        <f t="shared" si="2"/>
        <v>10903354.981066668</v>
      </c>
      <c r="G53" s="264">
        <v>4100423.6857999996</v>
      </c>
      <c r="H53" s="264">
        <v>937457.89147499995</v>
      </c>
      <c r="I53" s="264">
        <f>(G53+H53)</f>
        <v>5037881.5772749996</v>
      </c>
    </row>
    <row r="54" spans="2:9" x14ac:dyDescent="0.2">
      <c r="B54" s="331"/>
      <c r="C54" s="270" t="s">
        <v>196</v>
      </c>
      <c r="D54" s="261">
        <v>8365932.7118500005</v>
      </c>
      <c r="E54" s="261">
        <v>2806748.796016667</v>
      </c>
      <c r="F54" s="261">
        <f t="shared" si="2"/>
        <v>11172681.507866668</v>
      </c>
      <c r="G54" s="261">
        <v>4055661.7667916678</v>
      </c>
      <c r="H54" s="261">
        <v>864235.16878333339</v>
      </c>
      <c r="I54" s="261">
        <f>(G54+H54)</f>
        <v>4919896.9355750009</v>
      </c>
    </row>
    <row r="55" spans="2:9" x14ac:dyDescent="0.2">
      <c r="B55" s="331">
        <v>2023</v>
      </c>
      <c r="C55" s="270" t="s">
        <v>193</v>
      </c>
      <c r="D55" s="263">
        <v>8151474.4396083336</v>
      </c>
      <c r="E55" s="263">
        <v>2833318.9647083338</v>
      </c>
      <c r="F55" s="263">
        <f>(D55+E55)</f>
        <v>10984793.404316667</v>
      </c>
      <c r="G55" s="263">
        <v>4012125.2430083342</v>
      </c>
      <c r="H55" s="263">
        <v>851282.10445833334</v>
      </c>
      <c r="I55" s="263">
        <f t="shared" ref="I55:I56" si="4">(G55+H55)</f>
        <v>4863407.3474666672</v>
      </c>
    </row>
    <row r="56" spans="2:9" x14ac:dyDescent="0.2">
      <c r="B56" s="331"/>
      <c r="C56" s="270" t="s">
        <v>194</v>
      </c>
      <c r="D56" s="264">
        <v>8367424.1160333334</v>
      </c>
      <c r="E56" s="264">
        <v>2935775.0523666665</v>
      </c>
      <c r="F56" s="264">
        <f t="shared" si="2"/>
        <v>11303199.168400001</v>
      </c>
      <c r="G56" s="264">
        <v>4081736.7917250004</v>
      </c>
      <c r="H56" s="264">
        <v>785660.51979166688</v>
      </c>
      <c r="I56" s="264">
        <f t="shared" si="4"/>
        <v>4867397.3115166668</v>
      </c>
    </row>
    <row r="57" spans="2:9" x14ac:dyDescent="0.2">
      <c r="B57" s="331"/>
      <c r="C57" s="270" t="s">
        <v>195</v>
      </c>
      <c r="D57" s="264">
        <v>8074290.0367916664</v>
      </c>
      <c r="E57" s="264">
        <v>2834688.5553416666</v>
      </c>
      <c r="F57" s="264">
        <f t="shared" si="2"/>
        <v>10908978.592133332</v>
      </c>
      <c r="G57" s="264">
        <v>4217563.5718333349</v>
      </c>
      <c r="H57" s="264">
        <v>782702.47536666691</v>
      </c>
      <c r="I57" s="264">
        <f>(G57+H57)</f>
        <v>5000266.0472000018</v>
      </c>
    </row>
    <row r="58" spans="2:9" x14ac:dyDescent="0.2">
      <c r="B58" s="331"/>
      <c r="C58" s="270" t="s">
        <v>196</v>
      </c>
      <c r="D58" s="261">
        <v>8304928.8276916659</v>
      </c>
      <c r="E58" s="261">
        <v>2757500.4528750004</v>
      </c>
      <c r="F58" s="261">
        <f t="shared" si="2"/>
        <v>11062429.280566666</v>
      </c>
      <c r="G58" s="261">
        <v>4235606.5914083337</v>
      </c>
      <c r="H58" s="261">
        <v>762670.89465833327</v>
      </c>
      <c r="I58" s="261">
        <f>(G58+H58)</f>
        <v>4998277.4860666674</v>
      </c>
    </row>
    <row r="59" spans="2:9" x14ac:dyDescent="0.2">
      <c r="B59" s="265"/>
      <c r="C59" s="122"/>
      <c r="D59" s="264"/>
      <c r="E59" s="264"/>
      <c r="F59" s="264"/>
      <c r="G59" s="264"/>
      <c r="H59" s="264"/>
      <c r="I59" s="264"/>
    </row>
    <row r="60" spans="2:9" x14ac:dyDescent="0.2">
      <c r="B60" s="265"/>
      <c r="C60" s="122"/>
      <c r="D60" s="264"/>
      <c r="E60" s="264"/>
      <c r="F60" s="264"/>
      <c r="G60" s="264"/>
      <c r="H60" s="264"/>
      <c r="I60" s="264"/>
    </row>
    <row r="61" spans="2:9" x14ac:dyDescent="0.2">
      <c r="B61" s="129" t="s">
        <v>223</v>
      </c>
    </row>
  </sheetData>
  <mergeCells count="15">
    <mergeCell ref="B55:B58"/>
    <mergeCell ref="B51:B54"/>
    <mergeCell ref="C6:I6"/>
    <mergeCell ref="B35:B38"/>
    <mergeCell ref="B31:B34"/>
    <mergeCell ref="D11:F12"/>
    <mergeCell ref="G11:I12"/>
    <mergeCell ref="B27:B30"/>
    <mergeCell ref="D14:I14"/>
    <mergeCell ref="B47:B50"/>
    <mergeCell ref="B43:B46"/>
    <mergeCell ref="B15:B18"/>
    <mergeCell ref="B19:B22"/>
    <mergeCell ref="B23:B26"/>
    <mergeCell ref="B39:B42"/>
  </mergeCells>
  <pageMargins left="0.7" right="0.7" top="0.75" bottom="0.75" header="0.3" footer="0.3"/>
  <pageSetup scale="88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7554" r:id="rId4">
          <objectPr defaultSize="0" autoPict="0" r:id="rId5">
            <anchor moveWithCells="1" sizeWithCells="1">
              <from>
                <xdr:col>0</xdr:col>
                <xdr:colOff>0</xdr:colOff>
                <xdr:row>2</xdr:row>
                <xdr:rowOff>57150</xdr:rowOff>
              </from>
              <to>
                <xdr:col>1</xdr:col>
                <xdr:colOff>171450</xdr:colOff>
                <xdr:row>5</xdr:row>
                <xdr:rowOff>180975</xdr:rowOff>
              </to>
            </anchor>
          </objectPr>
        </oleObject>
      </mc:Choice>
      <mc:Fallback>
        <oleObject progId="MSPhotoEd.3" shapeId="407554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AQ55"/>
  <sheetViews>
    <sheetView view="pageBreakPreview" topLeftCell="A4" zoomScaleNormal="100" workbookViewId="0">
      <selection activeCell="T5" sqref="T5"/>
    </sheetView>
  </sheetViews>
  <sheetFormatPr defaultRowHeight="12.75" x14ac:dyDescent="0.2"/>
  <cols>
    <col min="1" max="2" width="2.85546875" customWidth="1"/>
    <col min="3" max="3" width="8.28515625" customWidth="1"/>
    <col min="4" max="4" width="24.7109375" customWidth="1"/>
    <col min="5" max="5" width="0.140625" hidden="1" customWidth="1" collapsed="1"/>
    <col min="6" max="6" width="10.28515625" hidden="1" customWidth="1"/>
    <col min="7" max="11" width="8.28515625" hidden="1" customWidth="1"/>
    <col min="12" max="12" width="9.5703125" hidden="1" customWidth="1"/>
    <col min="13" max="17" width="13.28515625" hidden="1" customWidth="1"/>
    <col min="18" max="19" width="13.28515625" customWidth="1"/>
    <col min="20" max="20" width="11.140625" customWidth="1"/>
    <col min="21" max="21" width="10.85546875" customWidth="1"/>
    <col min="22" max="23" width="13" bestFit="1" customWidth="1"/>
    <col min="24" max="24" width="11.28515625" bestFit="1" customWidth="1"/>
  </cols>
  <sheetData>
    <row r="1" spans="1:43" x14ac:dyDescent="0.2">
      <c r="A1" s="76"/>
    </row>
    <row r="4" spans="1:43" ht="15" x14ac:dyDescent="0.25">
      <c r="L4" s="332" t="s">
        <v>180</v>
      </c>
      <c r="M4" s="332"/>
      <c r="N4" s="332"/>
      <c r="O4" s="332"/>
      <c r="P4" s="332"/>
      <c r="Q4" s="332"/>
      <c r="R4" s="332"/>
      <c r="S4" s="332"/>
      <c r="T4" s="38"/>
    </row>
    <row r="5" spans="1:43" s="22" customFormat="1" ht="9" customHeight="1" x14ac:dyDescent="0.2"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</row>
    <row r="8" spans="1:43" ht="15.75" x14ac:dyDescent="0.25">
      <c r="C8" s="51">
        <v>12.03</v>
      </c>
      <c r="D8" s="121" t="s">
        <v>183</v>
      </c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50"/>
      <c r="U8" s="28"/>
    </row>
    <row r="9" spans="1:43" x14ac:dyDescent="0.2"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</row>
    <row r="10" spans="1:43" x14ac:dyDescent="0.2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125" t="s">
        <v>123</v>
      </c>
      <c r="V10" s="125"/>
      <c r="W10" s="126"/>
      <c r="X10" s="126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</row>
    <row r="11" spans="1:43" x14ac:dyDescent="0.2">
      <c r="C11" s="52"/>
      <c r="D11" s="60"/>
      <c r="E11" s="60">
        <v>1990</v>
      </c>
      <c r="F11" s="61">
        <v>1998</v>
      </c>
      <c r="G11" s="61">
        <v>1999</v>
      </c>
      <c r="H11" s="61">
        <v>2000</v>
      </c>
      <c r="I11" s="75">
        <v>2001</v>
      </c>
      <c r="J11" s="61" t="s">
        <v>42</v>
      </c>
      <c r="K11" s="75">
        <v>2003</v>
      </c>
      <c r="L11" s="75">
        <v>2004</v>
      </c>
      <c r="M11" s="75">
        <v>2005</v>
      </c>
      <c r="N11" s="75">
        <v>2006</v>
      </c>
      <c r="O11" s="75">
        <v>2008</v>
      </c>
      <c r="P11" s="63">
        <v>2009</v>
      </c>
      <c r="Q11" s="63">
        <v>2010</v>
      </c>
      <c r="R11" s="64">
        <v>2011</v>
      </c>
      <c r="S11" s="75">
        <v>2012</v>
      </c>
      <c r="T11" s="75">
        <v>2013</v>
      </c>
      <c r="U11" s="75">
        <v>2014</v>
      </c>
      <c r="V11" s="75">
        <v>2015</v>
      </c>
      <c r="W11" s="75">
        <v>2016</v>
      </c>
    </row>
    <row r="12" spans="1:43" x14ac:dyDescent="0.2">
      <c r="C12" s="52"/>
      <c r="D12" s="73"/>
      <c r="E12" s="76"/>
      <c r="F12" s="73"/>
      <c r="G12" s="73"/>
      <c r="H12" s="73"/>
      <c r="I12" s="73"/>
      <c r="J12" s="73"/>
      <c r="K12" s="73"/>
      <c r="L12" s="73"/>
      <c r="M12" s="73"/>
      <c r="N12" s="73"/>
      <c r="O12" s="52"/>
      <c r="P12" s="52"/>
      <c r="Q12" s="52"/>
      <c r="R12" s="52"/>
      <c r="S12" s="52"/>
      <c r="T12" s="52"/>
      <c r="U12" s="52"/>
      <c r="V12" s="52"/>
      <c r="W12" s="52"/>
    </row>
    <row r="13" spans="1:43" x14ac:dyDescent="0.2">
      <c r="C13" s="52"/>
      <c r="D13" s="71" t="s">
        <v>4</v>
      </c>
      <c r="E13" s="69">
        <f t="shared" ref="E13:K13" si="0">SUM(E15:E27)</f>
        <v>269074</v>
      </c>
      <c r="F13" s="77">
        <f t="shared" si="0"/>
        <v>641435</v>
      </c>
      <c r="G13" s="77">
        <f t="shared" si="0"/>
        <v>855644</v>
      </c>
      <c r="H13" s="77">
        <f t="shared" si="0"/>
        <v>887542</v>
      </c>
      <c r="I13" s="77">
        <f t="shared" si="0"/>
        <v>887293</v>
      </c>
      <c r="J13" s="77">
        <f t="shared" si="0"/>
        <v>806930</v>
      </c>
      <c r="K13" s="77">
        <f t="shared" si="0"/>
        <v>997043.33333333349</v>
      </c>
      <c r="L13" s="77">
        <f t="shared" ref="L13:S13" si="1">SUM(L15:L28)</f>
        <v>1205430.8333333333</v>
      </c>
      <c r="M13" s="77">
        <f t="shared" si="1"/>
        <v>1047396.8333333334</v>
      </c>
      <c r="N13" s="78">
        <f t="shared" si="1"/>
        <v>1258750</v>
      </c>
      <c r="O13" s="78">
        <f t="shared" si="1"/>
        <v>1436814</v>
      </c>
      <c r="P13" s="78">
        <f t="shared" si="1"/>
        <v>1558714</v>
      </c>
      <c r="Q13" s="78">
        <f t="shared" si="1"/>
        <v>1664973</v>
      </c>
      <c r="R13" s="78">
        <f t="shared" si="1"/>
        <v>1612156</v>
      </c>
      <c r="S13" s="78">
        <f t="shared" si="1"/>
        <v>1650579</v>
      </c>
      <c r="T13" s="78">
        <v>1654483</v>
      </c>
      <c r="U13" s="78">
        <f>SUM(U15:U27)</f>
        <v>1948749.1666666667</v>
      </c>
      <c r="V13" s="78">
        <f>SUM(V15:V27)</f>
        <v>2025593</v>
      </c>
      <c r="W13" s="78"/>
      <c r="AQ13">
        <v>4932.3999999999996</v>
      </c>
    </row>
    <row r="14" spans="1:43" x14ac:dyDescent="0.2">
      <c r="C14" s="52"/>
      <c r="D14" s="71"/>
      <c r="E14" s="69"/>
      <c r="F14" s="77"/>
      <c r="G14" s="77"/>
      <c r="H14" s="77"/>
      <c r="I14" s="77"/>
      <c r="J14" s="77"/>
      <c r="K14" s="77"/>
      <c r="L14" s="77"/>
      <c r="M14" s="77"/>
      <c r="N14" s="78"/>
      <c r="O14" s="78"/>
      <c r="P14" s="78"/>
      <c r="Q14" s="78"/>
      <c r="R14" s="78"/>
      <c r="S14" s="78"/>
      <c r="T14" s="78"/>
      <c r="U14" s="78"/>
      <c r="V14" s="78"/>
      <c r="W14" s="78"/>
      <c r="AQ14">
        <v>2281.6999999999998</v>
      </c>
    </row>
    <row r="15" spans="1:43" x14ac:dyDescent="0.2">
      <c r="C15" s="52"/>
      <c r="D15" s="73" t="s">
        <v>60</v>
      </c>
      <c r="E15" s="76">
        <v>7867</v>
      </c>
      <c r="F15" s="79">
        <v>12166</v>
      </c>
      <c r="G15" s="79">
        <v>17376</v>
      </c>
      <c r="H15" s="79">
        <v>16278</v>
      </c>
      <c r="I15" s="79">
        <v>16047</v>
      </c>
      <c r="J15" s="79">
        <v>13760</v>
      </c>
      <c r="K15" s="79">
        <v>12435</v>
      </c>
      <c r="L15" s="79">
        <v>17886</v>
      </c>
      <c r="M15" s="79">
        <f>25026/1.2</f>
        <v>20855</v>
      </c>
      <c r="N15" s="76">
        <f>26562/1.2</f>
        <v>22135</v>
      </c>
      <c r="O15" s="53">
        <v>22928</v>
      </c>
      <c r="P15" s="53">
        <v>26810</v>
      </c>
      <c r="Q15" s="80">
        <v>26138</v>
      </c>
      <c r="R15" s="76">
        <v>28647</v>
      </c>
      <c r="S15" s="53">
        <v>29633</v>
      </c>
      <c r="T15" s="53">
        <f>38999/1.2</f>
        <v>32499.166666666668</v>
      </c>
      <c r="U15" s="124">
        <f>32611/1.2</f>
        <v>27175.833333333336</v>
      </c>
      <c r="V15" s="124">
        <v>31122</v>
      </c>
      <c r="W15" s="124"/>
      <c r="AQ15">
        <v>100.2</v>
      </c>
    </row>
    <row r="16" spans="1:43" x14ac:dyDescent="0.2">
      <c r="C16" s="52"/>
      <c r="D16" s="73"/>
      <c r="E16" s="76"/>
      <c r="F16" s="79"/>
      <c r="G16" s="79"/>
      <c r="H16" s="79"/>
      <c r="I16" s="79"/>
      <c r="J16" s="79"/>
      <c r="K16" s="81"/>
      <c r="L16" s="82"/>
      <c r="M16" s="82"/>
      <c r="N16" s="83"/>
      <c r="O16" s="53"/>
      <c r="P16" s="53"/>
      <c r="Q16" s="80"/>
      <c r="R16" s="52"/>
      <c r="S16" s="53"/>
      <c r="T16" s="53"/>
      <c r="U16" s="76"/>
      <c r="V16" s="76"/>
      <c r="W16" s="76"/>
      <c r="AQ16">
        <v>2181.5</v>
      </c>
    </row>
    <row r="17" spans="3:43" x14ac:dyDescent="0.2">
      <c r="C17" s="52"/>
      <c r="D17" s="84"/>
      <c r="E17" s="83"/>
      <c r="F17" s="85"/>
      <c r="G17" s="85"/>
      <c r="H17" s="85"/>
      <c r="I17" s="85"/>
      <c r="J17" s="85"/>
      <c r="K17" s="81"/>
      <c r="L17" s="82"/>
      <c r="M17" s="82"/>
      <c r="N17" s="83"/>
      <c r="O17" s="53"/>
      <c r="P17" s="53"/>
      <c r="Q17" s="80"/>
      <c r="R17" s="52"/>
      <c r="S17" s="53"/>
      <c r="T17" s="53"/>
      <c r="U17" s="76"/>
      <c r="V17" s="76"/>
      <c r="W17" s="76"/>
      <c r="AQ17">
        <v>2650.7</v>
      </c>
    </row>
    <row r="18" spans="3:43" ht="25.5" x14ac:dyDescent="0.2">
      <c r="C18" s="52"/>
      <c r="D18" s="86" t="s">
        <v>43</v>
      </c>
      <c r="E18" s="83">
        <v>52</v>
      </c>
      <c r="F18" s="85">
        <v>56108</v>
      </c>
      <c r="G18" s="85">
        <v>70224</v>
      </c>
      <c r="H18" s="85">
        <v>75410</v>
      </c>
      <c r="I18" s="85">
        <v>77440</v>
      </c>
      <c r="J18" s="85">
        <v>12470</v>
      </c>
      <c r="K18" s="85">
        <v>14865</v>
      </c>
      <c r="L18" s="85">
        <v>16964</v>
      </c>
      <c r="M18" s="85">
        <v>10663</v>
      </c>
      <c r="N18" s="83">
        <f>24376/1.2</f>
        <v>20313.333333333336</v>
      </c>
      <c r="O18" s="83">
        <v>4982</v>
      </c>
      <c r="P18" s="83">
        <v>11515</v>
      </c>
      <c r="Q18" s="83">
        <v>14120</v>
      </c>
      <c r="R18" s="76">
        <v>11209</v>
      </c>
      <c r="S18" s="83">
        <v>24869</v>
      </c>
      <c r="T18" s="83">
        <f>51973/1.2</f>
        <v>43310.833333333336</v>
      </c>
      <c r="U18" s="76">
        <f>47914/1.2</f>
        <v>39928.333333333336</v>
      </c>
      <c r="V18" s="76">
        <v>13819</v>
      </c>
      <c r="W18" s="76"/>
      <c r="AQ18">
        <v>2971.2</v>
      </c>
    </row>
    <row r="19" spans="3:43" x14ac:dyDescent="0.2">
      <c r="C19" s="52"/>
      <c r="D19" s="84"/>
      <c r="E19" s="83">
        <v>4994</v>
      </c>
      <c r="F19" s="85"/>
      <c r="G19" s="85"/>
      <c r="H19" s="85"/>
      <c r="I19" s="85"/>
      <c r="J19" s="85"/>
      <c r="K19" s="81"/>
      <c r="L19" s="82"/>
      <c r="M19" s="81"/>
      <c r="N19" s="83"/>
      <c r="O19" s="53"/>
      <c r="P19" s="53"/>
      <c r="Q19" s="80"/>
      <c r="R19" s="52"/>
      <c r="S19" s="53"/>
      <c r="T19" s="53"/>
      <c r="U19" s="76"/>
      <c r="V19" s="76"/>
      <c r="W19" s="76"/>
      <c r="AQ19">
        <v>243.6</v>
      </c>
    </row>
    <row r="20" spans="3:43" ht="15" x14ac:dyDescent="0.2">
      <c r="C20" s="52"/>
      <c r="D20" s="84" t="s">
        <v>2</v>
      </c>
      <c r="E20" s="83">
        <v>1287</v>
      </c>
      <c r="F20" s="85">
        <v>625</v>
      </c>
      <c r="G20" s="85">
        <v>525</v>
      </c>
      <c r="H20" s="85">
        <v>4456</v>
      </c>
      <c r="I20" s="85">
        <v>523</v>
      </c>
      <c r="J20" s="85">
        <v>8023</v>
      </c>
      <c r="K20" s="85">
        <f>4/1.2</f>
        <v>3.3333333333333335</v>
      </c>
      <c r="L20" s="85">
        <f>3/1.2</f>
        <v>2.5</v>
      </c>
      <c r="M20" s="85">
        <f>4/1.2</f>
        <v>3.3333333333333335</v>
      </c>
      <c r="N20" s="83">
        <v>0</v>
      </c>
      <c r="O20" s="53">
        <v>1417</v>
      </c>
      <c r="P20" s="53">
        <v>1001</v>
      </c>
      <c r="Q20" s="80">
        <v>488</v>
      </c>
      <c r="R20" s="76">
        <v>4950</v>
      </c>
      <c r="S20" s="53">
        <v>4059</v>
      </c>
      <c r="T20" s="53">
        <v>4059</v>
      </c>
      <c r="U20" s="76">
        <f>4871/1.2</f>
        <v>4059.166666666667</v>
      </c>
      <c r="V20" s="76">
        <v>4871</v>
      </c>
      <c r="W20" s="76"/>
      <c r="X20" s="26"/>
      <c r="Y20">
        <v>2007</v>
      </c>
      <c r="Z20">
        <v>2008</v>
      </c>
      <c r="AQ20">
        <v>70.099999999999994</v>
      </c>
    </row>
    <row r="21" spans="3:43" ht="15" x14ac:dyDescent="0.2">
      <c r="C21" s="52"/>
      <c r="D21" s="84"/>
      <c r="E21" s="83"/>
      <c r="F21" s="85"/>
      <c r="G21" s="85"/>
      <c r="H21" s="85"/>
      <c r="I21" s="85"/>
      <c r="J21" s="85"/>
      <c r="K21" s="81"/>
      <c r="L21" s="82"/>
      <c r="M21" s="82"/>
      <c r="N21" s="83"/>
      <c r="O21" s="53"/>
      <c r="P21" s="53"/>
      <c r="Q21" s="80"/>
      <c r="R21" s="52"/>
      <c r="S21" s="53"/>
      <c r="T21" s="53"/>
      <c r="U21" s="76"/>
      <c r="V21" s="76"/>
      <c r="W21" s="76"/>
      <c r="Y21" s="26" t="s">
        <v>63</v>
      </c>
      <c r="Z21" s="24">
        <v>1205043</v>
      </c>
      <c r="AA21" s="46">
        <f>O23</f>
        <v>1315964</v>
      </c>
      <c r="AQ21">
        <v>2657.5</v>
      </c>
    </row>
    <row r="22" spans="3:43" ht="15" x14ac:dyDescent="0.2">
      <c r="C22" s="52"/>
      <c r="D22" s="84" t="s">
        <v>88</v>
      </c>
      <c r="E22" s="83"/>
      <c r="F22" s="85"/>
      <c r="G22" s="85"/>
      <c r="H22" s="85"/>
      <c r="I22" s="85"/>
      <c r="J22" s="85"/>
      <c r="K22" s="81"/>
      <c r="L22" s="82"/>
      <c r="M22" s="82"/>
      <c r="N22" s="83"/>
      <c r="O22" s="53"/>
      <c r="P22" s="53"/>
      <c r="Q22" s="80"/>
      <c r="R22" s="52"/>
      <c r="S22" s="53"/>
      <c r="T22" s="53"/>
      <c r="U22" s="76"/>
      <c r="V22" s="76"/>
      <c r="W22" s="76"/>
      <c r="Y22" s="26" t="s">
        <v>59</v>
      </c>
      <c r="Z22" s="9">
        <v>51488.333333333336</v>
      </c>
      <c r="AA22" s="10">
        <f>O26</f>
        <v>52657</v>
      </c>
      <c r="AQ22">
        <v>-320.5</v>
      </c>
    </row>
    <row r="23" spans="3:43" ht="15" x14ac:dyDescent="0.2">
      <c r="C23" s="52"/>
      <c r="D23" s="87" t="s">
        <v>47</v>
      </c>
      <c r="E23" s="83">
        <v>227043</v>
      </c>
      <c r="F23" s="85">
        <v>535194</v>
      </c>
      <c r="G23" s="85">
        <v>679862</v>
      </c>
      <c r="H23" s="85">
        <v>746313</v>
      </c>
      <c r="I23" s="85">
        <v>740326</v>
      </c>
      <c r="J23" s="85">
        <v>709890</v>
      </c>
      <c r="K23" s="85">
        <f>1124414/1.2</f>
        <v>937011.66666666674</v>
      </c>
      <c r="L23" s="85">
        <f>1302077/1.2</f>
        <v>1085064.1666666667</v>
      </c>
      <c r="M23" s="85">
        <f>1105959/1.2</f>
        <v>921632.5</v>
      </c>
      <c r="N23" s="83">
        <f>1336791/1.2</f>
        <v>1113992.5</v>
      </c>
      <c r="O23" s="83">
        <v>1315964</v>
      </c>
      <c r="P23" s="83">
        <v>1394658</v>
      </c>
      <c r="Q23" s="83">
        <v>1509363</v>
      </c>
      <c r="R23" s="76">
        <v>1481673</v>
      </c>
      <c r="S23" s="83">
        <v>1506593</v>
      </c>
      <c r="T23" s="76">
        <f>1918567/1.2</f>
        <v>1598805.8333333335</v>
      </c>
      <c r="U23" s="76">
        <f>2019863/1.2</f>
        <v>1683219.1666666667</v>
      </c>
      <c r="V23" s="76">
        <v>1869027</v>
      </c>
      <c r="W23" s="76"/>
      <c r="Y23" s="26" t="s">
        <v>58</v>
      </c>
      <c r="Z23" s="9">
        <v>-9104.1666666666679</v>
      </c>
      <c r="AA23" s="46">
        <f>O27</f>
        <v>5333</v>
      </c>
    </row>
    <row r="24" spans="3:43" ht="15" x14ac:dyDescent="0.2">
      <c r="C24" s="52"/>
      <c r="D24" s="70" t="s">
        <v>97</v>
      </c>
      <c r="E24" s="83">
        <v>281</v>
      </c>
      <c r="F24" s="85">
        <v>27</v>
      </c>
      <c r="G24" s="85">
        <v>139</v>
      </c>
      <c r="H24" s="85">
        <v>5</v>
      </c>
      <c r="I24" s="85">
        <v>9214</v>
      </c>
      <c r="J24" s="85">
        <v>9449</v>
      </c>
      <c r="K24" s="85">
        <f>17158/1.2</f>
        <v>14298.333333333334</v>
      </c>
      <c r="L24" s="85">
        <f>26575/1.2</f>
        <v>22145.833333333336</v>
      </c>
      <c r="M24" s="85">
        <f>31956/1.2</f>
        <v>26630</v>
      </c>
      <c r="N24" s="83">
        <f>34908/1.2</f>
        <v>29090</v>
      </c>
      <c r="O24" s="83">
        <v>33533</v>
      </c>
      <c r="P24" s="83">
        <v>36006</v>
      </c>
      <c r="Q24" s="83">
        <v>31743</v>
      </c>
      <c r="R24" s="76">
        <v>19883</v>
      </c>
      <c r="S24" s="83">
        <v>21809</v>
      </c>
      <c r="T24" s="83">
        <f>24271/1.2</f>
        <v>20225.833333333336</v>
      </c>
      <c r="U24" s="76">
        <f>21254/1.2</f>
        <v>17711.666666666668</v>
      </c>
      <c r="V24" s="76">
        <v>11399</v>
      </c>
      <c r="W24" s="76"/>
      <c r="Y24" s="26" t="s">
        <v>60</v>
      </c>
      <c r="Z24" s="9">
        <v>28009.166666666668</v>
      </c>
      <c r="AA24" s="10">
        <f>O15</f>
        <v>22928</v>
      </c>
      <c r="AQ24">
        <v>4932.3999999999996</v>
      </c>
    </row>
    <row r="25" spans="3:43" ht="15" x14ac:dyDescent="0.2">
      <c r="C25" s="52"/>
      <c r="D25" s="84"/>
      <c r="E25" s="83"/>
      <c r="F25" s="85"/>
      <c r="G25" s="85"/>
      <c r="H25" s="82"/>
      <c r="I25" s="85"/>
      <c r="J25" s="85"/>
      <c r="K25" s="81"/>
      <c r="L25" s="82"/>
      <c r="M25" s="82"/>
      <c r="N25" s="83"/>
      <c r="O25" s="53"/>
      <c r="P25" s="53"/>
      <c r="Q25" s="80"/>
      <c r="R25" s="52"/>
      <c r="S25" s="53"/>
      <c r="T25" s="53"/>
      <c r="U25" s="76"/>
      <c r="V25" s="76"/>
      <c r="W25" s="76"/>
      <c r="Y25" s="26" t="str">
        <f>D18</f>
        <v>Balances with Banks &amp; Branches</v>
      </c>
      <c r="Z25" s="9">
        <v>6862.5</v>
      </c>
      <c r="AA25" s="46">
        <f>O18</f>
        <v>4982</v>
      </c>
      <c r="AQ25">
        <v>1209.0999999999999</v>
      </c>
    </row>
    <row r="26" spans="3:43" ht="15" x14ac:dyDescent="0.2">
      <c r="C26" s="52"/>
      <c r="D26" s="73" t="s">
        <v>59</v>
      </c>
      <c r="E26" s="83">
        <v>16428</v>
      </c>
      <c r="F26" s="85">
        <v>26574</v>
      </c>
      <c r="G26" s="85">
        <v>19861</v>
      </c>
      <c r="H26" s="85">
        <v>20808</v>
      </c>
      <c r="I26" s="85">
        <v>23033</v>
      </c>
      <c r="J26" s="85">
        <v>33026</v>
      </c>
      <c r="K26" s="85">
        <v>29410</v>
      </c>
      <c r="L26" s="85">
        <f>33049/1.2</f>
        <v>27540.833333333336</v>
      </c>
      <c r="M26" s="85">
        <f>53670/1.2</f>
        <v>44725</v>
      </c>
      <c r="N26" s="83">
        <f>56267/1.2</f>
        <v>46889.166666666672</v>
      </c>
      <c r="O26" s="53">
        <v>52657</v>
      </c>
      <c r="P26" s="53">
        <v>60398</v>
      </c>
      <c r="Q26" s="80">
        <v>54132</v>
      </c>
      <c r="R26" s="76">
        <v>53518</v>
      </c>
      <c r="S26" s="53">
        <v>45963</v>
      </c>
      <c r="T26" s="53">
        <f>65926/1.2</f>
        <v>54938.333333333336</v>
      </c>
      <c r="U26" s="76">
        <f>53889/1.2</f>
        <v>44907.5</v>
      </c>
      <c r="V26" s="76">
        <v>44786</v>
      </c>
      <c r="W26" s="76"/>
      <c r="Y26" s="26" t="str">
        <f>D20</f>
        <v>Investments</v>
      </c>
      <c r="Z26" s="40" t="e">
        <f>#REF!</f>
        <v>#REF!</v>
      </c>
      <c r="AA26" s="10">
        <f>O20</f>
        <v>1417</v>
      </c>
      <c r="AQ26">
        <v>95.5</v>
      </c>
    </row>
    <row r="27" spans="3:43" x14ac:dyDescent="0.2">
      <c r="C27" s="52"/>
      <c r="D27" s="73" t="s">
        <v>58</v>
      </c>
      <c r="E27" s="83">
        <v>11122</v>
      </c>
      <c r="F27" s="85">
        <v>10741</v>
      </c>
      <c r="G27" s="85">
        <v>67657</v>
      </c>
      <c r="H27" s="85">
        <v>24272</v>
      </c>
      <c r="I27" s="85">
        <v>20710</v>
      </c>
      <c r="J27" s="85">
        <v>20312</v>
      </c>
      <c r="K27" s="85">
        <v>-10980</v>
      </c>
      <c r="L27" s="85">
        <f>42993/1.2</f>
        <v>35827.5</v>
      </c>
      <c r="M27" s="85">
        <v>22888</v>
      </c>
      <c r="N27" s="83">
        <f>31596/1.2</f>
        <v>26330</v>
      </c>
      <c r="O27" s="83">
        <v>5333</v>
      </c>
      <c r="P27" s="83">
        <v>28326</v>
      </c>
      <c r="Q27" s="83">
        <v>28989</v>
      </c>
      <c r="R27" s="76">
        <v>12276</v>
      </c>
      <c r="S27" s="83">
        <v>17653</v>
      </c>
      <c r="T27" s="83">
        <f>27952/1.2</f>
        <v>23293.333333333336</v>
      </c>
      <c r="U27" s="76">
        <f>158097/1.2</f>
        <v>131747.5</v>
      </c>
      <c r="V27" s="76">
        <v>50569</v>
      </c>
      <c r="W27" s="76"/>
      <c r="AQ27">
        <v>1113.5999999999999</v>
      </c>
    </row>
    <row r="28" spans="3:43" hidden="1" x14ac:dyDescent="0.2">
      <c r="C28" s="52"/>
      <c r="D28" s="84" t="s">
        <v>3</v>
      </c>
      <c r="E28" s="83">
        <v>32135</v>
      </c>
      <c r="F28" s="85">
        <v>17154</v>
      </c>
      <c r="G28" s="85">
        <v>21101</v>
      </c>
      <c r="H28" s="85">
        <v>23119</v>
      </c>
      <c r="I28" s="85">
        <v>83726</v>
      </c>
      <c r="J28" s="82"/>
      <c r="K28" s="81"/>
      <c r="L28" s="81"/>
      <c r="M28" s="81"/>
      <c r="N28" s="83"/>
      <c r="O28" s="83">
        <v>0</v>
      </c>
      <c r="P28" s="53"/>
      <c r="Q28" s="53"/>
      <c r="R28" s="80"/>
      <c r="S28" s="52"/>
      <c r="T28" s="52"/>
      <c r="U28" s="52"/>
      <c r="V28" s="52"/>
      <c r="W28" s="52"/>
      <c r="AQ28">
        <v>460.6</v>
      </c>
    </row>
    <row r="29" spans="3:43" x14ac:dyDescent="0.2">
      <c r="C29" s="49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AQ29">
        <v>653</v>
      </c>
    </row>
    <row r="30" spans="3:43" ht="15" x14ac:dyDescent="0.2">
      <c r="C30" s="4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97"/>
      <c r="V30" s="97"/>
      <c r="AQ30">
        <v>3723.3</v>
      </c>
    </row>
    <row r="31" spans="3:43" ht="15" x14ac:dyDescent="0.2">
      <c r="C31" s="49"/>
      <c r="D31" s="58" t="s">
        <v>100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97"/>
      <c r="V31" s="97"/>
      <c r="AQ31">
        <v>3382</v>
      </c>
    </row>
    <row r="32" spans="3:43" x14ac:dyDescent="0.2">
      <c r="C32" s="7"/>
      <c r="E32" s="21"/>
      <c r="F32" s="21"/>
      <c r="G32" s="21"/>
      <c r="H32" s="21"/>
      <c r="I32" s="21"/>
      <c r="J32" s="21"/>
      <c r="K32" s="8"/>
      <c r="L32" s="8"/>
      <c r="M32" s="8"/>
      <c r="N32" s="8"/>
      <c r="O32" s="8"/>
      <c r="P32" s="8"/>
      <c r="Q32" s="8"/>
      <c r="R32" s="8"/>
      <c r="S32" s="8"/>
      <c r="T32" s="73"/>
    </row>
    <row r="33" spans="3:25" x14ac:dyDescent="0.2">
      <c r="C33" s="7"/>
      <c r="E33" s="21"/>
      <c r="F33" s="21"/>
      <c r="G33" s="21"/>
      <c r="H33" s="21"/>
      <c r="I33" s="21"/>
      <c r="J33" s="21"/>
      <c r="K33" s="8"/>
      <c r="L33" s="8"/>
      <c r="M33" s="39"/>
      <c r="N33" s="39"/>
      <c r="O33" s="39"/>
      <c r="P33" s="39"/>
      <c r="Q33" s="39"/>
      <c r="R33" s="39"/>
      <c r="S33" s="39" t="s">
        <v>20</v>
      </c>
      <c r="T33" s="39"/>
      <c r="V33" s="19"/>
      <c r="W33" s="16"/>
    </row>
    <row r="34" spans="3:25" x14ac:dyDescent="0.2">
      <c r="C34" s="7"/>
      <c r="D34" s="7"/>
      <c r="E34" s="7"/>
      <c r="V34" s="5"/>
      <c r="W34" s="15"/>
      <c r="X34" s="9"/>
      <c r="Y34" s="15"/>
    </row>
    <row r="35" spans="3:25" x14ac:dyDescent="0.2">
      <c r="C35" s="7"/>
      <c r="D35" s="7"/>
      <c r="E35" s="7"/>
      <c r="V35" s="5"/>
      <c r="W35" s="15"/>
      <c r="X35" s="9"/>
      <c r="Y35" s="15"/>
    </row>
    <row r="36" spans="3:25" ht="14.25" x14ac:dyDescent="0.2">
      <c r="C36" s="2"/>
    </row>
    <row r="37" spans="3:25" ht="14.25" x14ac:dyDescent="0.2">
      <c r="C37" s="2"/>
    </row>
    <row r="38" spans="3:25" ht="14.25" x14ac:dyDescent="0.2">
      <c r="C38" s="2"/>
      <c r="D38" s="13"/>
    </row>
    <row r="39" spans="3:25" ht="14.25" x14ac:dyDescent="0.2">
      <c r="C39" s="2"/>
      <c r="D39" s="13"/>
    </row>
    <row r="40" spans="3:25" ht="14.25" x14ac:dyDescent="0.2">
      <c r="C40" s="2"/>
      <c r="D40" s="13"/>
    </row>
    <row r="41" spans="3:25" ht="14.25" x14ac:dyDescent="0.2">
      <c r="C41" s="2"/>
      <c r="D41" s="13"/>
    </row>
    <row r="42" spans="3:25" ht="14.25" x14ac:dyDescent="0.2">
      <c r="C42" s="2"/>
      <c r="D42" s="13"/>
    </row>
    <row r="43" spans="3:25" ht="14.25" x14ac:dyDescent="0.2">
      <c r="C43" s="2"/>
      <c r="D43" s="13"/>
    </row>
    <row r="44" spans="3:25" ht="14.25" x14ac:dyDescent="0.2">
      <c r="C44" s="2"/>
      <c r="D44" s="13"/>
    </row>
    <row r="45" spans="3:25" ht="14.25" x14ac:dyDescent="0.2">
      <c r="C45" s="2"/>
      <c r="D45" s="13"/>
    </row>
    <row r="46" spans="3:25" ht="14.25" x14ac:dyDescent="0.2">
      <c r="C46" s="2"/>
      <c r="D46" s="13"/>
    </row>
    <row r="47" spans="3:25" ht="14.25" x14ac:dyDescent="0.2">
      <c r="C47" s="2"/>
      <c r="D47" s="13"/>
    </row>
    <row r="48" spans="3:25" ht="14.25" x14ac:dyDescent="0.2">
      <c r="C48" s="2"/>
      <c r="D48" s="13"/>
    </row>
    <row r="49" spans="3:42" ht="14.25" x14ac:dyDescent="0.2">
      <c r="C49" s="2"/>
      <c r="D49" s="13"/>
    </row>
    <row r="50" spans="3:42" ht="14.25" x14ac:dyDescent="0.2">
      <c r="C50" s="2"/>
      <c r="D50" s="13"/>
    </row>
    <row r="52" spans="3:42" ht="14.25" x14ac:dyDescent="0.2">
      <c r="C52" s="2"/>
    </row>
    <row r="53" spans="3:42" x14ac:dyDescent="0.2">
      <c r="C53" s="3"/>
      <c r="D53" s="3"/>
      <c r="E53" s="3"/>
      <c r="F53" s="3"/>
      <c r="G53" s="3"/>
      <c r="H53" s="3"/>
      <c r="I53" s="3"/>
      <c r="J53" s="3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3:42" s="22" customFormat="1" ht="9" customHeight="1" x14ac:dyDescent="0.2">
      <c r="C54" s="23"/>
      <c r="D54" s="23"/>
      <c r="E54" s="23"/>
      <c r="F54" s="23"/>
      <c r="G54" s="23"/>
      <c r="H54" s="23"/>
      <c r="I54" s="23"/>
      <c r="J54" s="23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3:42" x14ac:dyDescent="0.2">
      <c r="C55" s="333" t="e">
        <f>'.01'!#REF!+1</f>
        <v>#REF!</v>
      </c>
      <c r="D55" s="333"/>
      <c r="E55" s="333"/>
      <c r="F55" s="333"/>
      <c r="G55" s="333"/>
      <c r="H55" s="333"/>
      <c r="I55" s="333"/>
      <c r="J55" s="333"/>
      <c r="K55" s="333"/>
      <c r="L55" s="333"/>
      <c r="M55" s="333"/>
      <c r="N55" s="333"/>
      <c r="O55" s="333"/>
      <c r="P55" s="333"/>
      <c r="Q55" s="333"/>
      <c r="R55" s="333"/>
      <c r="S55" s="333"/>
      <c r="T55" s="4"/>
    </row>
  </sheetData>
  <mergeCells count="2">
    <mergeCell ref="L4:S4"/>
    <mergeCell ref="C55:S55"/>
  </mergeCells>
  <phoneticPr fontId="6" type="noConversion"/>
  <printOptions horizontalCentered="1"/>
  <pageMargins left="1" right="1" top="1" bottom="1" header="0.5" footer="0.24"/>
  <pageSetup scale="65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57150</xdr:rowOff>
              </from>
              <to>
                <xdr:col>2</xdr:col>
                <xdr:colOff>190500</xdr:colOff>
                <xdr:row>1</xdr:row>
                <xdr:rowOff>28575</xdr:rowOff>
              </to>
            </anchor>
          </objectPr>
        </oleObject>
      </mc:Choice>
      <mc:Fallback>
        <oleObject progId="MSPhotoEd.3" shapeId="102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4:AS79"/>
  <sheetViews>
    <sheetView view="pageBreakPreview" topLeftCell="A5" zoomScaleNormal="100" zoomScaleSheetLayoutView="100" workbookViewId="0">
      <selection activeCell="C8" sqref="C8:O9"/>
    </sheetView>
  </sheetViews>
  <sheetFormatPr defaultRowHeight="12.75" x14ac:dyDescent="0.2"/>
  <cols>
    <col min="1" max="1" width="3.85546875" customWidth="1"/>
    <col min="2" max="2" width="7.7109375" customWidth="1"/>
    <col min="3" max="3" width="20.28515625" customWidth="1"/>
    <col min="4" max="6" width="8.42578125" hidden="1" customWidth="1"/>
    <col min="7" max="8" width="8.5703125" hidden="1" customWidth="1"/>
    <col min="9" max="9" width="10.140625" hidden="1" customWidth="1"/>
    <col min="10" max="13" width="13.28515625" hidden="1" customWidth="1"/>
    <col min="14" max="15" width="13.28515625" customWidth="1"/>
    <col min="16" max="16" width="11.140625" customWidth="1"/>
    <col min="17" max="17" width="11.85546875" customWidth="1"/>
    <col min="18" max="18" width="10.28515625" bestFit="1" customWidth="1"/>
    <col min="19" max="19" width="10.42578125" bestFit="1" customWidth="1"/>
    <col min="21" max="21" width="11.28515625" bestFit="1" customWidth="1"/>
    <col min="22" max="22" width="9.5703125" bestFit="1" customWidth="1"/>
    <col min="27" max="27" width="10.7109375" customWidth="1"/>
  </cols>
  <sheetData>
    <row r="4" spans="2:45" ht="15" x14ac:dyDescent="0.25">
      <c r="H4" s="332" t="s">
        <v>180</v>
      </c>
      <c r="I4" s="332"/>
      <c r="J4" s="332"/>
      <c r="K4" s="332"/>
      <c r="L4" s="332"/>
      <c r="M4" s="332"/>
      <c r="N4" s="332"/>
      <c r="O4" s="332"/>
      <c r="P4" s="38"/>
    </row>
    <row r="5" spans="2:45" s="22" customFormat="1" ht="9" customHeight="1" x14ac:dyDescent="0.2"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8" spans="2:45" ht="15.75" customHeight="1" x14ac:dyDescent="0.25">
      <c r="B8" s="51">
        <v>12.04</v>
      </c>
      <c r="C8" s="334" t="s">
        <v>181</v>
      </c>
      <c r="D8" s="334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123"/>
      <c r="Q8" s="52"/>
      <c r="R8" s="52"/>
    </row>
    <row r="9" spans="2:45" ht="15.75" x14ac:dyDescent="0.25">
      <c r="B9" s="51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123"/>
      <c r="Q9" s="52"/>
      <c r="R9" s="52"/>
    </row>
    <row r="10" spans="2:45" x14ac:dyDescent="0.2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spans="2:45" x14ac:dyDescent="0.2">
      <c r="B11" s="52"/>
      <c r="D11" s="337" t="s">
        <v>123</v>
      </c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</row>
    <row r="12" spans="2:45" x14ac:dyDescent="0.2">
      <c r="B12" s="49"/>
      <c r="C12" s="60"/>
      <c r="D12" s="61">
        <v>1999</v>
      </c>
      <c r="E12" s="62">
        <v>2000</v>
      </c>
      <c r="F12" s="63">
        <v>2001</v>
      </c>
      <c r="G12" s="62" t="s">
        <v>42</v>
      </c>
      <c r="H12" s="63">
        <v>2003</v>
      </c>
      <c r="I12" s="63">
        <v>2004</v>
      </c>
      <c r="J12" s="63">
        <v>2005</v>
      </c>
      <c r="K12" s="63">
        <v>2006</v>
      </c>
      <c r="L12" s="63">
        <v>2009</v>
      </c>
      <c r="M12" s="63">
        <v>2010</v>
      </c>
      <c r="N12" s="64">
        <v>2011</v>
      </c>
      <c r="O12" s="63">
        <v>2012</v>
      </c>
      <c r="P12" s="63">
        <v>2013</v>
      </c>
      <c r="Q12" s="63">
        <v>2014</v>
      </c>
      <c r="R12" s="63">
        <v>2015</v>
      </c>
      <c r="S12" s="63">
        <v>2016</v>
      </c>
    </row>
    <row r="13" spans="2:45" x14ac:dyDescent="0.2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AS13">
        <v>4932.3999999999996</v>
      </c>
    </row>
    <row r="14" spans="2:45" x14ac:dyDescent="0.2">
      <c r="B14" s="52"/>
      <c r="C14" s="57" t="s">
        <v>5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AS14">
        <v>2281.6999999999998</v>
      </c>
    </row>
    <row r="15" spans="2:45" x14ac:dyDescent="0.2">
      <c r="B15" s="52"/>
      <c r="C15" s="52" t="s">
        <v>70</v>
      </c>
      <c r="D15" s="53">
        <v>124132</v>
      </c>
      <c r="E15" s="53">
        <v>132514</v>
      </c>
      <c r="F15" s="53">
        <v>152285</v>
      </c>
      <c r="G15" s="76">
        <f>(188460+3547)/1.2</f>
        <v>160005.83333333334</v>
      </c>
      <c r="H15" s="76">
        <f>349364+2947</f>
        <v>352311</v>
      </c>
      <c r="I15" s="76">
        <f>628122+20354</f>
        <v>648476</v>
      </c>
      <c r="J15" s="76">
        <f>305588+10163</f>
        <v>315751</v>
      </c>
      <c r="K15" s="53">
        <f>319844/1.2</f>
        <v>266536.66666666669</v>
      </c>
      <c r="L15" s="53">
        <v>254508</v>
      </c>
      <c r="M15" s="53">
        <v>298898</v>
      </c>
      <c r="N15" s="53">
        <v>237707</v>
      </c>
      <c r="O15" s="53">
        <v>337013</v>
      </c>
      <c r="P15" s="53">
        <v>403082</v>
      </c>
      <c r="Q15" s="53">
        <f>'[1]CI$th'!$AM$46</f>
        <v>460587.5</v>
      </c>
      <c r="R15" s="53">
        <v>606312</v>
      </c>
      <c r="S15" s="53">
        <f>'.03b'!E30</f>
        <v>595925</v>
      </c>
      <c r="U15" s="5">
        <v>257670.83333333334</v>
      </c>
      <c r="AS15">
        <v>100.2</v>
      </c>
    </row>
    <row r="16" spans="2:45" x14ac:dyDescent="0.2">
      <c r="B16" s="52"/>
      <c r="C16" s="52" t="s">
        <v>6</v>
      </c>
      <c r="D16" s="53">
        <v>91613</v>
      </c>
      <c r="E16" s="53">
        <v>101608</v>
      </c>
      <c r="F16" s="53">
        <v>99826</v>
      </c>
      <c r="G16" s="76">
        <v>120440</v>
      </c>
      <c r="H16" s="76">
        <f>119618+4553</f>
        <v>124171</v>
      </c>
      <c r="I16" s="76">
        <f>224643+7270</f>
        <v>231913</v>
      </c>
      <c r="J16" s="76">
        <f>206715+15631</f>
        <v>222346</v>
      </c>
      <c r="K16" s="53">
        <f>246052/1.2</f>
        <v>205043.33333333334</v>
      </c>
      <c r="L16" s="53">
        <v>230244</v>
      </c>
      <c r="M16" s="53">
        <v>241088</v>
      </c>
      <c r="N16" s="53">
        <v>263707</v>
      </c>
      <c r="O16" s="53">
        <v>323232</v>
      </c>
      <c r="P16" s="53">
        <v>268218</v>
      </c>
      <c r="Q16" s="53">
        <f>'[1]CI$th'!$AM$49</f>
        <v>276093.33333333337</v>
      </c>
      <c r="R16" s="53">
        <v>364820</v>
      </c>
      <c r="S16" s="53">
        <f>'.03b'!F30</f>
        <v>323910.83333333337</v>
      </c>
      <c r="U16">
        <v>211685</v>
      </c>
      <c r="AS16">
        <v>2181.5</v>
      </c>
    </row>
    <row r="17" spans="2:45" x14ac:dyDescent="0.2">
      <c r="B17" s="52"/>
      <c r="C17" s="52" t="s">
        <v>7</v>
      </c>
      <c r="D17" s="53">
        <v>289879</v>
      </c>
      <c r="E17" s="53">
        <v>323961</v>
      </c>
      <c r="F17" s="53">
        <v>277661</v>
      </c>
      <c r="G17" s="76">
        <v>254401</v>
      </c>
      <c r="H17" s="76">
        <f>253114+6293</f>
        <v>259407</v>
      </c>
      <c r="I17" s="76">
        <f>267285+6399</f>
        <v>273684</v>
      </c>
      <c r="J17" s="76">
        <f>333400+10240</f>
        <v>343640</v>
      </c>
      <c r="K17" s="53">
        <f>511911/1.2</f>
        <v>426592.5</v>
      </c>
      <c r="L17" s="53">
        <v>389888</v>
      </c>
      <c r="M17" s="53">
        <v>355961</v>
      </c>
      <c r="N17" s="53">
        <v>344263</v>
      </c>
      <c r="O17" s="53">
        <v>363198</v>
      </c>
      <c r="P17" s="53">
        <v>339166</v>
      </c>
      <c r="Q17" s="53">
        <f>'[1]CI$th'!$AM$50</f>
        <v>376867.5</v>
      </c>
      <c r="R17" s="53">
        <v>573057</v>
      </c>
      <c r="S17" s="53">
        <f>'.03b'!G30</f>
        <v>498855</v>
      </c>
      <c r="U17">
        <v>485806.66666666669</v>
      </c>
      <c r="AS17">
        <v>2650.7</v>
      </c>
    </row>
    <row r="18" spans="2:45" x14ac:dyDescent="0.2">
      <c r="B18" s="52"/>
      <c r="C18" s="57" t="s">
        <v>97</v>
      </c>
      <c r="D18" s="53"/>
      <c r="E18" s="53"/>
      <c r="F18" s="53"/>
      <c r="G18" s="76"/>
      <c r="H18" s="76"/>
      <c r="I18" s="76"/>
      <c r="J18" s="76"/>
      <c r="K18" s="53"/>
      <c r="L18" s="53"/>
      <c r="M18" s="53">
        <v>42045</v>
      </c>
      <c r="N18" s="53">
        <v>36763</v>
      </c>
      <c r="O18" s="53">
        <v>35893</v>
      </c>
      <c r="P18" s="53">
        <v>36980</v>
      </c>
      <c r="Q18" s="53">
        <v>33117</v>
      </c>
      <c r="R18" s="53">
        <v>52255</v>
      </c>
      <c r="S18" s="53"/>
    </row>
    <row r="19" spans="2:45" x14ac:dyDescent="0.2">
      <c r="B19" s="52"/>
      <c r="C19" s="52"/>
      <c r="D19" s="52"/>
      <c r="E19" s="53"/>
      <c r="F19" s="52"/>
      <c r="G19" s="73"/>
      <c r="H19" s="73"/>
      <c r="I19" s="73"/>
      <c r="J19" s="73"/>
      <c r="K19" s="53"/>
      <c r="L19" s="53"/>
      <c r="M19" s="53"/>
      <c r="N19" s="52"/>
      <c r="O19" s="53"/>
      <c r="P19" s="53"/>
      <c r="Q19" s="53"/>
      <c r="R19" s="53"/>
      <c r="S19" s="53"/>
      <c r="AS19">
        <v>2971.2</v>
      </c>
    </row>
    <row r="20" spans="2:45" x14ac:dyDescent="0.2">
      <c r="B20" s="52"/>
      <c r="C20" s="71" t="s">
        <v>8</v>
      </c>
      <c r="D20" s="69">
        <f t="shared" ref="D20:I20" si="0">SUM(D15:D19)</f>
        <v>505624</v>
      </c>
      <c r="E20" s="69">
        <f t="shared" si="0"/>
        <v>558083</v>
      </c>
      <c r="F20" s="69">
        <f t="shared" si="0"/>
        <v>529772</v>
      </c>
      <c r="G20" s="90">
        <f>SUM(G15:G19)</f>
        <v>534846.83333333337</v>
      </c>
      <c r="H20" s="90">
        <f t="shared" si="0"/>
        <v>735889</v>
      </c>
      <c r="I20" s="90">
        <f t="shared" si="0"/>
        <v>1154073</v>
      </c>
      <c r="J20" s="90">
        <f t="shared" ref="J20:O20" si="1">SUM(J15:J19)</f>
        <v>881737</v>
      </c>
      <c r="K20" s="90">
        <f t="shared" si="1"/>
        <v>898172.5</v>
      </c>
      <c r="L20" s="90">
        <f t="shared" si="1"/>
        <v>874640</v>
      </c>
      <c r="M20" s="90">
        <f>SUM(M15:M18)</f>
        <v>937992</v>
      </c>
      <c r="N20" s="90">
        <f t="shared" si="1"/>
        <v>882440</v>
      </c>
      <c r="O20" s="90">
        <f t="shared" si="1"/>
        <v>1059336</v>
      </c>
      <c r="P20" s="90">
        <v>1010464</v>
      </c>
      <c r="Q20" s="90">
        <f>SUM(Q15:Q17)</f>
        <v>1113548.3333333335</v>
      </c>
      <c r="R20" s="90">
        <f>SUM(R15:R18)</f>
        <v>1596444</v>
      </c>
      <c r="S20" s="90"/>
      <c r="AS20">
        <v>243.6</v>
      </c>
    </row>
    <row r="21" spans="2:45" x14ac:dyDescent="0.2">
      <c r="B21" s="52"/>
      <c r="C21" s="71"/>
      <c r="D21" s="52"/>
      <c r="E21" s="53"/>
      <c r="F21" s="52"/>
      <c r="G21" s="84"/>
      <c r="H21" s="84"/>
      <c r="I21" s="84"/>
      <c r="J21" s="84"/>
      <c r="K21" s="53"/>
      <c r="L21" s="53"/>
      <c r="M21" s="53"/>
      <c r="N21" s="52"/>
      <c r="O21" s="53"/>
      <c r="P21" s="53"/>
      <c r="Q21" s="53"/>
      <c r="R21" s="53"/>
      <c r="S21" s="53"/>
      <c r="AS21">
        <v>70.099999999999994</v>
      </c>
    </row>
    <row r="22" spans="2:45" x14ac:dyDescent="0.2">
      <c r="B22" s="52"/>
      <c r="C22" s="52" t="s">
        <v>9</v>
      </c>
      <c r="D22" s="53">
        <v>31343</v>
      </c>
      <c r="E22" s="53">
        <v>59467</v>
      </c>
      <c r="F22" s="53">
        <v>66694</v>
      </c>
      <c r="G22" s="83">
        <v>139706</v>
      </c>
      <c r="H22" s="83">
        <v>90845</v>
      </c>
      <c r="I22" s="83">
        <v>26563</v>
      </c>
      <c r="J22" s="83">
        <v>166627</v>
      </c>
      <c r="K22" s="53">
        <f>68897/1.2</f>
        <v>57414.166666666672</v>
      </c>
      <c r="L22" s="53">
        <v>186159</v>
      </c>
      <c r="M22" s="53">
        <v>65939</v>
      </c>
      <c r="N22" s="53">
        <v>23463</v>
      </c>
      <c r="O22" s="53">
        <v>-12213</v>
      </c>
      <c r="P22" s="53">
        <f>-95799/1.2</f>
        <v>-79832.5</v>
      </c>
      <c r="Q22" s="53">
        <v>-17410</v>
      </c>
      <c r="R22" s="53">
        <v>-43477</v>
      </c>
      <c r="S22" s="53"/>
      <c r="AS22">
        <v>2657.5</v>
      </c>
    </row>
    <row r="23" spans="2:45" x14ac:dyDescent="0.2">
      <c r="B23" s="52"/>
      <c r="C23" s="52"/>
      <c r="D23" s="53"/>
      <c r="E23" s="53"/>
      <c r="F23" s="53"/>
      <c r="G23" s="83"/>
      <c r="H23" s="83"/>
      <c r="I23" s="83"/>
      <c r="J23" s="83"/>
      <c r="K23" s="53"/>
      <c r="L23" s="53"/>
      <c r="M23" s="53"/>
      <c r="N23" s="53"/>
      <c r="O23" s="53"/>
      <c r="P23" s="53"/>
      <c r="Q23" s="53"/>
      <c r="R23" s="53"/>
      <c r="S23" s="53"/>
      <c r="AS23">
        <v>-320.5</v>
      </c>
    </row>
    <row r="24" spans="2:45" x14ac:dyDescent="0.2">
      <c r="B24" s="52"/>
      <c r="C24" s="73" t="s">
        <v>154</v>
      </c>
      <c r="D24" s="91" t="s">
        <v>44</v>
      </c>
      <c r="E24" s="91" t="s">
        <v>44</v>
      </c>
      <c r="F24" s="91" t="s">
        <v>44</v>
      </c>
      <c r="G24" s="92" t="s">
        <v>44</v>
      </c>
      <c r="H24" s="83">
        <v>85424</v>
      </c>
      <c r="I24" s="83">
        <v>58283</v>
      </c>
      <c r="J24" s="83">
        <v>94637</v>
      </c>
      <c r="K24" s="53">
        <f>241987/1.2</f>
        <v>201655.83333333334</v>
      </c>
      <c r="L24" s="53">
        <v>366934</v>
      </c>
      <c r="M24" s="53">
        <v>520008</v>
      </c>
      <c r="N24" s="53">
        <v>566034</v>
      </c>
      <c r="O24" s="53">
        <v>597106</v>
      </c>
      <c r="P24" s="53">
        <f>770211/1.2</f>
        <v>641842.5</v>
      </c>
      <c r="Q24" s="53">
        <v>621397</v>
      </c>
      <c r="R24" s="53">
        <v>543469</v>
      </c>
      <c r="S24" s="53"/>
    </row>
    <row r="25" spans="2:45" x14ac:dyDescent="0.2">
      <c r="B25" s="52"/>
      <c r="C25" s="52"/>
      <c r="D25" s="52"/>
      <c r="E25" s="53"/>
      <c r="F25" s="53"/>
      <c r="G25" s="83"/>
      <c r="H25" s="84"/>
      <c r="I25" s="84"/>
      <c r="J25" s="84"/>
      <c r="K25" s="53"/>
      <c r="L25" s="53"/>
      <c r="M25" s="53"/>
      <c r="N25" s="52"/>
      <c r="O25" s="53"/>
      <c r="P25" s="53"/>
      <c r="Q25" s="53"/>
      <c r="R25" s="53"/>
      <c r="S25" s="53"/>
      <c r="AS25">
        <v>4932.3999999999996</v>
      </c>
    </row>
    <row r="26" spans="2:45" x14ac:dyDescent="0.2">
      <c r="B26" s="52"/>
      <c r="C26" s="335" t="s">
        <v>169</v>
      </c>
      <c r="D26" s="69">
        <f t="shared" ref="D26:K26" si="2">SUM(D20:D25)</f>
        <v>536967</v>
      </c>
      <c r="E26" s="69">
        <f t="shared" si="2"/>
        <v>617550</v>
      </c>
      <c r="F26" s="69">
        <f t="shared" si="2"/>
        <v>596466</v>
      </c>
      <c r="G26" s="69">
        <f t="shared" si="2"/>
        <v>674552.83333333337</v>
      </c>
      <c r="H26" s="69">
        <f t="shared" si="2"/>
        <v>912158</v>
      </c>
      <c r="I26" s="69">
        <f t="shared" si="2"/>
        <v>1238919</v>
      </c>
      <c r="J26" s="69">
        <f t="shared" si="2"/>
        <v>1143001</v>
      </c>
      <c r="K26" s="69">
        <f t="shared" si="2"/>
        <v>1157242.5</v>
      </c>
      <c r="L26" s="93">
        <f>SUM(L20:L25)</f>
        <v>1427733</v>
      </c>
      <c r="M26" s="93">
        <f>SUM(M20:M25)</f>
        <v>1523939</v>
      </c>
      <c r="N26" s="93">
        <f>SUM(N20:N25)</f>
        <v>1471937</v>
      </c>
      <c r="O26" s="93">
        <f>SUM(O20:O25)</f>
        <v>1644229</v>
      </c>
      <c r="P26" s="93">
        <f>1931347/1.2</f>
        <v>1609455.8333333335</v>
      </c>
      <c r="Q26" s="93">
        <v>1903882</v>
      </c>
      <c r="R26" s="93">
        <v>2096436</v>
      </c>
      <c r="S26" s="93"/>
      <c r="AS26">
        <v>1209.0999999999999</v>
      </c>
    </row>
    <row r="27" spans="2:45" x14ac:dyDescent="0.2">
      <c r="B27" s="52"/>
      <c r="C27" s="336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AS27">
        <v>95.5</v>
      </c>
    </row>
    <row r="28" spans="2:45" ht="14.25" hidden="1" x14ac:dyDescent="0.2">
      <c r="B28" s="52"/>
      <c r="C28" s="52" t="s">
        <v>10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AS28">
        <v>1113.5999999999999</v>
      </c>
    </row>
    <row r="29" spans="2:45" hidden="1" x14ac:dyDescent="0.2">
      <c r="B29" s="52"/>
      <c r="C29" s="52" t="s">
        <v>11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AS29">
        <v>460.6</v>
      </c>
    </row>
    <row r="30" spans="2:45" hidden="1" x14ac:dyDescent="0.2">
      <c r="B30" s="59"/>
      <c r="C30" s="59"/>
      <c r="D30" s="59"/>
      <c r="E30" s="59"/>
      <c r="F30" s="52"/>
      <c r="G30" s="52"/>
      <c r="H30" s="52"/>
      <c r="I30" s="52"/>
      <c r="J30" s="52"/>
      <c r="K30" s="52"/>
      <c r="L30" s="52"/>
      <c r="M30" s="52"/>
      <c r="N30" s="52"/>
      <c r="O30" s="52"/>
      <c r="AS30">
        <v>653</v>
      </c>
    </row>
    <row r="31" spans="2:45" x14ac:dyDescent="0.2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Z31" s="45" t="s">
        <v>67</v>
      </c>
      <c r="AA31" s="16" t="s">
        <v>68</v>
      </c>
      <c r="AS31">
        <v>3723.3</v>
      </c>
    </row>
    <row r="32" spans="2:45" x14ac:dyDescent="0.2"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Z32" s="45"/>
      <c r="AA32" s="16"/>
      <c r="AS32">
        <v>3382</v>
      </c>
    </row>
    <row r="33" spans="1:31" x14ac:dyDescent="0.2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Z33" s="45"/>
      <c r="AA33" s="16"/>
    </row>
    <row r="34" spans="1:31" x14ac:dyDescent="0.2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Z34" s="29">
        <v>2000</v>
      </c>
      <c r="AA34" s="31">
        <f>E20</f>
        <v>558083</v>
      </c>
    </row>
    <row r="35" spans="1:31" x14ac:dyDescent="0.2"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U35" s="16"/>
      <c r="V35" s="16"/>
      <c r="Z35" s="29">
        <v>2001</v>
      </c>
      <c r="AA35" s="31">
        <f>F20</f>
        <v>529772</v>
      </c>
    </row>
    <row r="36" spans="1:31" x14ac:dyDescent="0.2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V36" s="9">
        <f>J15</f>
        <v>315751</v>
      </c>
      <c r="Z36" s="29">
        <v>2002</v>
      </c>
      <c r="AA36" s="31">
        <f>G20</f>
        <v>534846.83333333337</v>
      </c>
    </row>
    <row r="37" spans="1:31" x14ac:dyDescent="0.2"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V37" s="9">
        <f>J16</f>
        <v>222346</v>
      </c>
      <c r="Z37" s="29">
        <v>2003</v>
      </c>
      <c r="AA37" s="31">
        <f>H20</f>
        <v>735889</v>
      </c>
    </row>
    <row r="38" spans="1:31" x14ac:dyDescent="0.2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V38" s="9">
        <f>J17</f>
        <v>343640</v>
      </c>
      <c r="Z38" s="29">
        <v>2004</v>
      </c>
      <c r="AA38" s="31">
        <f>I20</f>
        <v>1154073</v>
      </c>
    </row>
    <row r="39" spans="1:31" x14ac:dyDescent="0.2"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V39" s="9">
        <f>J24</f>
        <v>94637</v>
      </c>
      <c r="Z39" s="29">
        <v>2005</v>
      </c>
      <c r="AA39" s="31">
        <f>J20</f>
        <v>881737</v>
      </c>
    </row>
    <row r="40" spans="1:31" x14ac:dyDescent="0.2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V40" s="9">
        <f>J22</f>
        <v>166627</v>
      </c>
      <c r="Z40" s="29">
        <v>2006</v>
      </c>
      <c r="AA40" s="31">
        <f>K20</f>
        <v>898172.5</v>
      </c>
    </row>
    <row r="41" spans="1:31" x14ac:dyDescent="0.2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Z41" s="29">
        <v>2007</v>
      </c>
      <c r="AA41" s="31" t="e">
        <f>#REF!</f>
        <v>#REF!</v>
      </c>
    </row>
    <row r="42" spans="1:31" x14ac:dyDescent="0.2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Z42" s="29">
        <v>2008</v>
      </c>
      <c r="AA42" s="31" t="e">
        <f>#REF!</f>
        <v>#REF!</v>
      </c>
    </row>
    <row r="43" spans="1:31" x14ac:dyDescent="0.2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Z43" s="29">
        <v>2009</v>
      </c>
      <c r="AA43" s="9">
        <f>L20</f>
        <v>874640</v>
      </c>
    </row>
    <row r="44" spans="1:31" x14ac:dyDescent="0.2"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Z44" s="29">
        <v>2010</v>
      </c>
      <c r="AA44" s="9">
        <f>M20</f>
        <v>937992</v>
      </c>
    </row>
    <row r="45" spans="1:31" x14ac:dyDescent="0.2"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Z45" s="8">
        <v>2011</v>
      </c>
      <c r="AA45" s="9">
        <f>N20</f>
        <v>882440</v>
      </c>
    </row>
    <row r="46" spans="1:31" x14ac:dyDescent="0.2"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Z46" s="8">
        <v>2012</v>
      </c>
      <c r="AA46" s="9">
        <f>O20</f>
        <v>1059336</v>
      </c>
    </row>
    <row r="47" spans="1:31" s="1" customFormat="1" x14ac:dyDescent="0.2">
      <c r="A47" s="7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7"/>
      <c r="T47" s="7"/>
      <c r="U47" s="7"/>
      <c r="V47" s="7"/>
      <c r="W47" s="7"/>
      <c r="X47" s="7"/>
      <c r="Y47" s="7"/>
      <c r="Z47" s="21">
        <v>2013</v>
      </c>
      <c r="AA47" s="120">
        <v>1010464</v>
      </c>
      <c r="AB47" s="7"/>
      <c r="AC47" s="7"/>
      <c r="AD47" s="7"/>
      <c r="AE47" s="7"/>
    </row>
    <row r="48" spans="1:31" x14ac:dyDescent="0.2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Z48" s="122">
        <v>2014</v>
      </c>
      <c r="AA48" s="120">
        <v>1113548</v>
      </c>
    </row>
    <row r="49" spans="2:27" ht="14.25" hidden="1" customHeight="1" x14ac:dyDescent="0.2">
      <c r="B49" s="71" t="s">
        <v>1</v>
      </c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</row>
    <row r="50" spans="2:27" hidden="1" x14ac:dyDescent="0.2"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</row>
    <row r="51" spans="2:27" ht="14.25" hidden="1" x14ac:dyDescent="0.2">
      <c r="B51" s="94">
        <v>1</v>
      </c>
      <c r="C51" s="52" t="s">
        <v>12</v>
      </c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</row>
    <row r="52" spans="2:27" x14ac:dyDescent="0.2"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Z52">
        <v>2015</v>
      </c>
      <c r="AA52" s="5">
        <v>1596444</v>
      </c>
    </row>
    <row r="53" spans="2:27" x14ac:dyDescent="0.2"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</row>
    <row r="54" spans="2:27" x14ac:dyDescent="0.2"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</row>
    <row r="55" spans="2:27" x14ac:dyDescent="0.2"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</row>
    <row r="56" spans="2:27" x14ac:dyDescent="0.2"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</row>
    <row r="57" spans="2:27" x14ac:dyDescent="0.2">
      <c r="B57" s="52"/>
      <c r="C57" s="58" t="s">
        <v>100</v>
      </c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</row>
    <row r="58" spans="2:27" x14ac:dyDescent="0.2">
      <c r="P58" s="52"/>
      <c r="Q58" s="52"/>
      <c r="R58" s="52"/>
    </row>
    <row r="65" spans="2:44" x14ac:dyDescent="0.2">
      <c r="C65" s="3"/>
    </row>
    <row r="66" spans="2:44" x14ac:dyDescent="0.2">
      <c r="C66" s="3"/>
    </row>
    <row r="67" spans="2:44" x14ac:dyDescent="0.2">
      <c r="C67" s="3"/>
    </row>
    <row r="68" spans="2:44" x14ac:dyDescent="0.2">
      <c r="C68" s="3"/>
    </row>
    <row r="69" spans="2:44" x14ac:dyDescent="0.2">
      <c r="C69" s="3"/>
    </row>
    <row r="71" spans="2:44" x14ac:dyDescent="0.2">
      <c r="C71" s="3"/>
    </row>
    <row r="72" spans="2:44" x14ac:dyDescent="0.2">
      <c r="C72" s="3"/>
    </row>
    <row r="73" spans="2:44" x14ac:dyDescent="0.2">
      <c r="C73" s="3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</row>
    <row r="74" spans="2:44" s="22" customFormat="1" ht="9" customHeight="1" x14ac:dyDescent="0.2">
      <c r="B74" s="23"/>
      <c r="C74" s="23"/>
      <c r="D74" s="23"/>
      <c r="E74" s="23"/>
      <c r="F74" s="23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</row>
    <row r="75" spans="2:44" x14ac:dyDescent="0.2">
      <c r="B75" s="333" t="e">
        <f>'.03 delete'!C55+1</f>
        <v>#REF!</v>
      </c>
      <c r="C75" s="333"/>
      <c r="D75" s="333"/>
      <c r="E75" s="333"/>
      <c r="F75" s="333"/>
      <c r="G75" s="333"/>
      <c r="H75" s="333"/>
      <c r="I75" s="333"/>
      <c r="J75" s="333"/>
      <c r="K75" s="333"/>
      <c r="L75" s="333"/>
      <c r="M75" s="333"/>
      <c r="N75" s="333"/>
      <c r="O75" s="333"/>
      <c r="P75" s="4"/>
    </row>
    <row r="76" spans="2:44" x14ac:dyDescent="0.2">
      <c r="C76" s="3"/>
      <c r="D76" s="3"/>
      <c r="E76" s="3"/>
      <c r="F76" s="3"/>
    </row>
    <row r="77" spans="2:44" x14ac:dyDescent="0.2">
      <c r="C77" s="3"/>
      <c r="D77" s="3"/>
      <c r="E77" s="3"/>
      <c r="F77" s="3"/>
    </row>
    <row r="78" spans="2:44" x14ac:dyDescent="0.2">
      <c r="C78" s="3"/>
      <c r="D78" s="3"/>
      <c r="E78" s="3"/>
      <c r="F78" s="3"/>
    </row>
    <row r="79" spans="2:44" x14ac:dyDescent="0.2">
      <c r="C79" s="3"/>
      <c r="D79" s="3"/>
      <c r="E79" s="3"/>
      <c r="F79" s="3"/>
    </row>
  </sheetData>
  <mergeCells count="5">
    <mergeCell ref="H4:O4"/>
    <mergeCell ref="C8:O9"/>
    <mergeCell ref="C26:C27"/>
    <mergeCell ref="B75:O75"/>
    <mergeCell ref="D11:R11"/>
  </mergeCells>
  <phoneticPr fontId="6" type="noConversion"/>
  <printOptions horizontalCentered="1"/>
  <pageMargins left="1" right="1" top="1" bottom="1" header="0.5" footer="0.24"/>
  <pageSetup scale="74" orientation="portrait" r:id="rId1"/>
  <headerFooter alignWithMargins="0"/>
  <ignoredErrors>
    <ignoredError sqref="M20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2051" r:id="rId4">
          <objectPr defaultSize="0" autoPict="0" r:id="rId5">
            <anchor moveWithCells="1" sizeWithCells="1">
              <from>
                <xdr:col>0</xdr:col>
                <xdr:colOff>123825</xdr:colOff>
                <xdr:row>0</xdr:row>
                <xdr:rowOff>66675</xdr:rowOff>
              </from>
              <to>
                <xdr:col>1</xdr:col>
                <xdr:colOff>247650</xdr:colOff>
                <xdr:row>1</xdr:row>
                <xdr:rowOff>47625</xdr:rowOff>
              </to>
            </anchor>
          </objectPr>
        </oleObject>
      </mc:Choice>
      <mc:Fallback>
        <oleObject progId="MSPhotoEd.3" shapeId="2051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7"/>
  <sheetViews>
    <sheetView topLeftCell="A10" zoomScaleNormal="100" zoomScaleSheetLayoutView="100" workbookViewId="0">
      <pane xSplit="3" ySplit="5" topLeftCell="D15" activePane="bottomRight" state="frozen"/>
      <selection activeCell="A10" sqref="A10"/>
      <selection pane="topRight" activeCell="D10" sqref="D10"/>
      <selection pane="bottomLeft" activeCell="A15" sqref="A15"/>
      <selection pane="bottomRight" activeCell="M19" sqref="M19"/>
    </sheetView>
  </sheetViews>
  <sheetFormatPr defaultRowHeight="12.75" x14ac:dyDescent="0.2"/>
  <cols>
    <col min="1" max="1" width="2" style="17" customWidth="1"/>
    <col min="2" max="2" width="7.85546875" style="17" customWidth="1"/>
    <col min="3" max="3" width="67.85546875" style="17" customWidth="1"/>
    <col min="4" max="4" width="17.140625" style="17" customWidth="1"/>
    <col min="5" max="16384" width="9.140625" style="17"/>
  </cols>
  <sheetData>
    <row r="2" spans="2:11" x14ac:dyDescent="0.2">
      <c r="G2" s="140" t="s">
        <v>249</v>
      </c>
    </row>
    <row r="9" spans="2:11" ht="18.75" x14ac:dyDescent="0.25">
      <c r="B9" s="130">
        <v>12.05</v>
      </c>
      <c r="C9" s="311" t="s">
        <v>251</v>
      </c>
      <c r="D9" s="311"/>
      <c r="E9" s="311"/>
      <c r="F9" s="311"/>
      <c r="G9" s="311"/>
      <c r="H9" s="311"/>
      <c r="I9" s="311"/>
      <c r="J9" s="311"/>
    </row>
    <row r="12" spans="2:11" x14ac:dyDescent="0.2">
      <c r="B12" s="30"/>
      <c r="C12" s="30"/>
    </row>
    <row r="13" spans="2:11" x14ac:dyDescent="0.2">
      <c r="B13" s="30"/>
      <c r="C13" s="30"/>
      <c r="K13" s="271" t="s">
        <v>179</v>
      </c>
    </row>
    <row r="14" spans="2:11" x14ac:dyDescent="0.2">
      <c r="B14" s="30"/>
      <c r="C14" s="171" t="s">
        <v>13</v>
      </c>
      <c r="D14" s="272">
        <v>2016</v>
      </c>
      <c r="E14" s="272">
        <v>2017</v>
      </c>
      <c r="F14" s="272">
        <v>2018</v>
      </c>
      <c r="G14" s="272">
        <v>2019</v>
      </c>
      <c r="H14" s="272">
        <v>2020</v>
      </c>
      <c r="I14" s="272">
        <v>2021</v>
      </c>
      <c r="J14" s="272">
        <v>2022</v>
      </c>
      <c r="K14" s="272">
        <v>2023</v>
      </c>
    </row>
    <row r="15" spans="2:11" ht="9.75" customHeight="1" x14ac:dyDescent="0.2">
      <c r="B15" s="30"/>
      <c r="C15" s="251"/>
      <c r="D15" s="145"/>
      <c r="E15" s="145"/>
      <c r="F15" s="145"/>
      <c r="G15" s="145"/>
    </row>
    <row r="16" spans="2:11" ht="15" customHeight="1" x14ac:dyDescent="0.2">
      <c r="B16" s="30"/>
      <c r="C16" s="146" t="s">
        <v>22</v>
      </c>
      <c r="D16" s="273">
        <v>2809</v>
      </c>
      <c r="E16" s="273">
        <f>E17+E32+E37</f>
        <v>2950.1774999999998</v>
      </c>
      <c r="F16" s="273">
        <v>2859.1008633333331</v>
      </c>
      <c r="G16" s="273">
        <v>3024.9073232166666</v>
      </c>
      <c r="H16" s="273">
        <v>3195.5970042833333</v>
      </c>
      <c r="I16" s="273">
        <v>3474.3903284833336</v>
      </c>
      <c r="J16" s="273">
        <v>3408.143164983333</v>
      </c>
      <c r="K16" s="273">
        <v>4235.6065914083338</v>
      </c>
    </row>
    <row r="17" spans="2:11" x14ac:dyDescent="0.2">
      <c r="B17" s="30"/>
      <c r="C17" s="274" t="s">
        <v>89</v>
      </c>
      <c r="D17" s="273">
        <f>D18+D23+D27+D31</f>
        <v>907.50000000000011</v>
      </c>
      <c r="E17" s="273">
        <f>E18+E23+E27+E31</f>
        <v>884.06500000000005</v>
      </c>
      <c r="F17" s="273">
        <v>717.42336333333344</v>
      </c>
      <c r="G17" s="273">
        <v>937.51206798333328</v>
      </c>
      <c r="H17" s="273">
        <v>1035.3507610416666</v>
      </c>
      <c r="I17" s="273">
        <v>1166.8096874916669</v>
      </c>
      <c r="J17" s="273">
        <v>1183.2951027249999</v>
      </c>
      <c r="K17" s="273">
        <v>1329.5331965999999</v>
      </c>
    </row>
    <row r="18" spans="2:11" x14ac:dyDescent="0.2">
      <c r="B18" s="30"/>
      <c r="C18" s="275" t="s">
        <v>95</v>
      </c>
      <c r="D18" s="273">
        <f>SUM(D19:D22)</f>
        <v>172.1</v>
      </c>
      <c r="E18" s="273">
        <f>SUM(E19:E22)</f>
        <v>159.45916666666668</v>
      </c>
      <c r="F18" s="273">
        <v>215.56916666666666</v>
      </c>
      <c r="G18" s="273">
        <v>217.00722546666663</v>
      </c>
      <c r="H18" s="273">
        <v>236.68171401666663</v>
      </c>
      <c r="I18" s="273">
        <v>207.30345200000002</v>
      </c>
      <c r="J18" s="273">
        <v>230.04122934166668</v>
      </c>
      <c r="K18" s="273">
        <v>293.49032802500005</v>
      </c>
    </row>
    <row r="19" spans="2:11" x14ac:dyDescent="0.2">
      <c r="B19" s="30"/>
      <c r="C19" s="276" t="s">
        <v>125</v>
      </c>
      <c r="D19" s="277">
        <v>4.3</v>
      </c>
      <c r="E19" s="277">
        <v>4.6766666666666667</v>
      </c>
      <c r="F19" s="277">
        <v>4.9258333333333342</v>
      </c>
      <c r="G19" s="277">
        <v>4.561280758333333</v>
      </c>
      <c r="H19" s="277">
        <v>4.4197511666666669</v>
      </c>
      <c r="I19" s="277">
        <v>4.8993554416666667</v>
      </c>
      <c r="J19" s="277">
        <v>4.7347531500000004</v>
      </c>
      <c r="K19" s="277">
        <v>4.4977567499999997</v>
      </c>
    </row>
    <row r="20" spans="2:11" x14ac:dyDescent="0.2">
      <c r="B20" s="30"/>
      <c r="C20" s="276" t="s">
        <v>90</v>
      </c>
      <c r="D20" s="277">
        <v>19.600000000000001</v>
      </c>
      <c r="E20" s="277">
        <v>14.1</v>
      </c>
      <c r="F20" s="277">
        <v>13.750833333333334</v>
      </c>
      <c r="G20" s="277">
        <v>8.0381876166666686</v>
      </c>
      <c r="H20" s="277">
        <v>8.8825475249999997</v>
      </c>
      <c r="I20" s="277">
        <v>8.3588936416666666</v>
      </c>
      <c r="J20" s="277">
        <v>8.0191811916666662</v>
      </c>
      <c r="K20" s="277">
        <v>9.1256565416666646</v>
      </c>
    </row>
    <row r="21" spans="2:11" x14ac:dyDescent="0.2">
      <c r="B21" s="30"/>
      <c r="C21" s="276" t="s">
        <v>14</v>
      </c>
      <c r="D21" s="277">
        <v>36.9</v>
      </c>
      <c r="E21" s="277">
        <v>22.959166666666668</v>
      </c>
      <c r="F21" s="277">
        <v>58.517499999999998</v>
      </c>
      <c r="G21" s="277">
        <v>16.784375675</v>
      </c>
      <c r="H21" s="277">
        <v>16.428703133333332</v>
      </c>
      <c r="I21" s="277">
        <v>8.2454219166666665</v>
      </c>
      <c r="J21" s="277">
        <v>9.8199580333333341</v>
      </c>
      <c r="K21" s="277">
        <v>62.662769841666666</v>
      </c>
    </row>
    <row r="22" spans="2:11" x14ac:dyDescent="0.2">
      <c r="B22" s="30"/>
      <c r="C22" s="276" t="s">
        <v>15</v>
      </c>
      <c r="D22" s="277">
        <v>111.3</v>
      </c>
      <c r="E22" s="277">
        <v>117.72333333333334</v>
      </c>
      <c r="F22" s="277">
        <v>138.375</v>
      </c>
      <c r="G22" s="277">
        <v>187.62338141666663</v>
      </c>
      <c r="H22" s="277">
        <v>206.95071219166664</v>
      </c>
      <c r="I22" s="277">
        <v>185.79978100000002</v>
      </c>
      <c r="J22" s="277">
        <v>207.46733696666669</v>
      </c>
      <c r="K22" s="277">
        <v>217.20414489166669</v>
      </c>
    </row>
    <row r="23" spans="2:11" x14ac:dyDescent="0.2">
      <c r="B23" s="30"/>
      <c r="C23" s="275" t="s">
        <v>91</v>
      </c>
      <c r="D23" s="273">
        <f>SUM(D24:D26)</f>
        <v>72.2</v>
      </c>
      <c r="E23" s="273">
        <f>SUM(E24:E26)</f>
        <v>85.35</v>
      </c>
      <c r="F23" s="273">
        <v>95.183333333333337</v>
      </c>
      <c r="G23" s="273">
        <v>102.35932995833333</v>
      </c>
      <c r="H23" s="273">
        <v>116.982165575</v>
      </c>
      <c r="I23" s="273">
        <v>126.30777346666667</v>
      </c>
      <c r="J23" s="273">
        <v>144.52640582500001</v>
      </c>
      <c r="K23" s="273">
        <v>140.11509370000002</v>
      </c>
    </row>
    <row r="24" spans="2:11" x14ac:dyDescent="0.2">
      <c r="B24" s="30"/>
      <c r="C24" s="276" t="s">
        <v>127</v>
      </c>
      <c r="D24" s="277">
        <v>13.6</v>
      </c>
      <c r="E24" s="277">
        <v>26.383333333333336</v>
      </c>
      <c r="F24" s="277">
        <v>42.905000000000001</v>
      </c>
      <c r="G24" s="277">
        <v>60.904605383333326</v>
      </c>
      <c r="H24" s="277">
        <v>65.581756274999989</v>
      </c>
      <c r="I24" s="277">
        <v>68.348756074999997</v>
      </c>
      <c r="J24" s="277">
        <v>78.048928524999994</v>
      </c>
      <c r="K24" s="277">
        <v>64.635752258333341</v>
      </c>
    </row>
    <row r="25" spans="2:11" x14ac:dyDescent="0.2">
      <c r="B25" s="30"/>
      <c r="C25" s="276" t="s">
        <v>126</v>
      </c>
      <c r="D25" s="277">
        <v>19.399999999999999</v>
      </c>
      <c r="E25" s="277">
        <v>24.114166666666669</v>
      </c>
      <c r="F25" s="277">
        <v>23.351666666666667</v>
      </c>
      <c r="G25" s="277">
        <v>21.484123158333333</v>
      </c>
      <c r="H25" s="277">
        <v>28.813361658333339</v>
      </c>
      <c r="I25" s="277">
        <v>28.920257541666668</v>
      </c>
      <c r="J25" s="277">
        <v>21.67024686666667</v>
      </c>
      <c r="K25" s="277">
        <v>9.5826272916666664</v>
      </c>
    </row>
    <row r="26" spans="2:11" x14ac:dyDescent="0.2">
      <c r="B26" s="30"/>
      <c r="C26" s="276" t="s">
        <v>128</v>
      </c>
      <c r="D26" s="277">
        <v>39.200000000000003</v>
      </c>
      <c r="E26" s="277">
        <v>34.852499999999999</v>
      </c>
      <c r="F26" s="277">
        <v>28.926666666666669</v>
      </c>
      <c r="G26" s="277">
        <v>19.970601416666664</v>
      </c>
      <c r="H26" s="277">
        <v>22.587047641666668</v>
      </c>
      <c r="I26" s="277">
        <v>29.038759850000002</v>
      </c>
      <c r="J26" s="277">
        <v>44.807230433333338</v>
      </c>
      <c r="K26" s="277">
        <v>65.896714150000008</v>
      </c>
    </row>
    <row r="27" spans="2:11" x14ac:dyDescent="0.2">
      <c r="B27" s="30"/>
      <c r="C27" s="275" t="s">
        <v>92</v>
      </c>
      <c r="D27" s="273">
        <f>SUM(D28:D30)</f>
        <v>525.6</v>
      </c>
      <c r="E27" s="273">
        <f>SUM(E28:E30)</f>
        <v>578.58833333333337</v>
      </c>
      <c r="F27" s="273">
        <v>363.30753000000004</v>
      </c>
      <c r="G27" s="273">
        <v>584.64706051666667</v>
      </c>
      <c r="H27" s="273">
        <v>652.89896830000009</v>
      </c>
      <c r="I27" s="273">
        <v>812.41569771666673</v>
      </c>
      <c r="J27" s="273">
        <v>790.89172431666657</v>
      </c>
      <c r="K27" s="273">
        <v>883.78562769166672</v>
      </c>
    </row>
    <row r="28" spans="2:11" x14ac:dyDescent="0.2">
      <c r="B28" s="30"/>
      <c r="C28" s="276" t="s">
        <v>129</v>
      </c>
      <c r="D28" s="277">
        <v>53.4</v>
      </c>
      <c r="E28" s="277">
        <v>53.205833333333338</v>
      </c>
      <c r="F28" s="277">
        <v>34.987499999999997</v>
      </c>
      <c r="G28" s="277">
        <v>57.823768300000005</v>
      </c>
      <c r="H28" s="277">
        <v>70.233163958333336</v>
      </c>
      <c r="I28" s="277">
        <v>102.27678685833335</v>
      </c>
      <c r="J28" s="277">
        <v>112.55532006666667</v>
      </c>
      <c r="K28" s="277">
        <v>134.33988915833336</v>
      </c>
    </row>
    <row r="29" spans="2:11" x14ac:dyDescent="0.2">
      <c r="B29" s="30"/>
      <c r="C29" s="276" t="s">
        <v>130</v>
      </c>
      <c r="D29" s="277">
        <v>194.6</v>
      </c>
      <c r="E29" s="277">
        <v>131.95833333333334</v>
      </c>
      <c r="F29" s="277">
        <v>145.23750000000001</v>
      </c>
      <c r="G29" s="277">
        <v>262.59083270000002</v>
      </c>
      <c r="H29" s="277">
        <v>281.5360325916667</v>
      </c>
      <c r="I29" s="277">
        <v>318.91139229999999</v>
      </c>
      <c r="J29" s="277">
        <v>315.65771224999997</v>
      </c>
      <c r="K29" s="277">
        <v>347.09363421666671</v>
      </c>
    </row>
    <row r="30" spans="2:11" x14ac:dyDescent="0.2">
      <c r="B30" s="30"/>
      <c r="C30" s="276" t="s">
        <v>131</v>
      </c>
      <c r="D30" s="277">
        <v>277.60000000000002</v>
      </c>
      <c r="E30" s="277">
        <v>393.42416666666668</v>
      </c>
      <c r="F30" s="277">
        <v>183.08252999999999</v>
      </c>
      <c r="G30" s="277">
        <v>264.23245951666667</v>
      </c>
      <c r="H30" s="277">
        <v>301.12977175000003</v>
      </c>
      <c r="I30" s="277">
        <v>391.22751855833332</v>
      </c>
      <c r="J30" s="277">
        <v>362.67869200000001</v>
      </c>
      <c r="K30" s="277">
        <v>402.35210431666667</v>
      </c>
    </row>
    <row r="31" spans="2:11" x14ac:dyDescent="0.2">
      <c r="B31" s="30"/>
      <c r="C31" s="275" t="s">
        <v>93</v>
      </c>
      <c r="D31" s="278">
        <v>137.6</v>
      </c>
      <c r="E31" s="278">
        <v>60.667500000000004</v>
      </c>
      <c r="F31" s="278">
        <v>43.363333333333337</v>
      </c>
      <c r="G31" s="278">
        <v>33.498452041666667</v>
      </c>
      <c r="H31" s="278">
        <v>28.787913150000001</v>
      </c>
      <c r="I31" s="278">
        <v>20.782764308333331</v>
      </c>
      <c r="J31" s="278">
        <v>17.835743241666666</v>
      </c>
      <c r="K31" s="278">
        <v>12.142147183333334</v>
      </c>
    </row>
    <row r="32" spans="2:11" x14ac:dyDescent="0.2">
      <c r="B32" s="30"/>
      <c r="C32" s="274" t="s">
        <v>94</v>
      </c>
      <c r="D32" s="279">
        <f>SUM(D33:D36)</f>
        <v>1882.6000000000001</v>
      </c>
      <c r="E32" s="279">
        <f>SUM(E33:E36)</f>
        <v>1992.5083333333332</v>
      </c>
      <c r="F32" s="279">
        <v>2063.0541666666663</v>
      </c>
      <c r="G32" s="279">
        <v>2068.7963902333336</v>
      </c>
      <c r="H32" s="279">
        <v>2139.1247370833335</v>
      </c>
      <c r="I32" s="279">
        <v>2293.1229453000001</v>
      </c>
      <c r="J32" s="279">
        <v>2206.0937008916667</v>
      </c>
      <c r="K32" s="279">
        <v>2441.9763825666669</v>
      </c>
    </row>
    <row r="33" spans="2:11" x14ac:dyDescent="0.2">
      <c r="B33" s="30"/>
      <c r="C33" s="280" t="s">
        <v>134</v>
      </c>
      <c r="D33" s="277">
        <v>1600.9</v>
      </c>
      <c r="E33" s="277">
        <v>1719.8025</v>
      </c>
      <c r="F33" s="277">
        <v>1780.87</v>
      </c>
      <c r="G33" s="277">
        <v>1771.7945144833334</v>
      </c>
      <c r="H33" s="277">
        <v>1887.7916992500002</v>
      </c>
      <c r="I33" s="277">
        <v>2033.1171445000002</v>
      </c>
      <c r="J33" s="277">
        <v>1938.5606426333334</v>
      </c>
      <c r="K33" s="277">
        <v>2164.6388480416667</v>
      </c>
    </row>
    <row r="34" spans="2:11" x14ac:dyDescent="0.2">
      <c r="B34" s="30"/>
      <c r="C34" s="280" t="s">
        <v>132</v>
      </c>
      <c r="D34" s="277">
        <v>45.8</v>
      </c>
      <c r="E34" s="277">
        <v>50.454999999999998</v>
      </c>
      <c r="F34" s="277">
        <v>61.086666666666673</v>
      </c>
      <c r="G34" s="277">
        <v>57.282551716666667</v>
      </c>
      <c r="H34" s="277">
        <v>58.786392541666672</v>
      </c>
      <c r="I34" s="277">
        <v>58.363087108333339</v>
      </c>
      <c r="J34" s="277">
        <v>55.972970108333335</v>
      </c>
      <c r="K34" s="277">
        <v>60.975024883333333</v>
      </c>
    </row>
    <row r="35" spans="2:11" x14ac:dyDescent="0.2">
      <c r="B35" s="30"/>
      <c r="C35" s="280" t="s">
        <v>133</v>
      </c>
      <c r="D35" s="277">
        <v>5.9</v>
      </c>
      <c r="E35" s="277">
        <v>6.3816666666666668</v>
      </c>
      <c r="F35" s="277">
        <v>5.8358333333333343</v>
      </c>
      <c r="G35" s="277">
        <v>4.6762075083333325</v>
      </c>
      <c r="H35" s="277">
        <v>4.1652639083333334</v>
      </c>
      <c r="I35" s="277">
        <v>3.3008501083333335</v>
      </c>
      <c r="J35" s="277">
        <v>2.8225533916666667</v>
      </c>
      <c r="K35" s="277">
        <v>2.6809594250000006</v>
      </c>
    </row>
    <row r="36" spans="2:11" x14ac:dyDescent="0.2">
      <c r="B36" s="30"/>
      <c r="C36" s="280" t="s">
        <v>105</v>
      </c>
      <c r="D36" s="277">
        <v>230</v>
      </c>
      <c r="E36" s="277">
        <v>215.86916666666667</v>
      </c>
      <c r="F36" s="277">
        <v>215.26166666666668</v>
      </c>
      <c r="G36" s="277">
        <v>235.04311652499999</v>
      </c>
      <c r="H36" s="277">
        <v>188.38138138333332</v>
      </c>
      <c r="I36" s="277">
        <v>198.34186358333332</v>
      </c>
      <c r="J36" s="277">
        <v>208.73753475833331</v>
      </c>
      <c r="K36" s="277">
        <v>213.68155021666666</v>
      </c>
    </row>
    <row r="37" spans="2:11" x14ac:dyDescent="0.2">
      <c r="B37" s="30"/>
      <c r="C37" s="281" t="s">
        <v>124</v>
      </c>
      <c r="D37" s="282">
        <v>18.7</v>
      </c>
      <c r="E37" s="282">
        <v>73.604166666666671</v>
      </c>
      <c r="F37" s="282">
        <v>78.623333333333349</v>
      </c>
      <c r="G37" s="282">
        <v>18.598865</v>
      </c>
      <c r="H37" s="282">
        <v>21.121506158333336</v>
      </c>
      <c r="I37" s="282">
        <v>14.457695691666668</v>
      </c>
      <c r="J37" s="282">
        <v>18.754361366666668</v>
      </c>
      <c r="K37" s="282">
        <v>28.356875299999999</v>
      </c>
    </row>
    <row r="38" spans="2:11" x14ac:dyDescent="0.2">
      <c r="B38" s="30"/>
      <c r="C38" s="283"/>
      <c r="D38" s="284"/>
    </row>
    <row r="39" spans="2:11" x14ac:dyDescent="0.2">
      <c r="B39" s="148"/>
      <c r="C39" s="146" t="s">
        <v>69</v>
      </c>
      <c r="D39" s="129"/>
    </row>
    <row r="40" spans="2:11" ht="14.25" x14ac:dyDescent="0.2">
      <c r="B40" s="285"/>
      <c r="C40" s="129" t="s">
        <v>135</v>
      </c>
      <c r="D40" s="129"/>
    </row>
    <row r="41" spans="2:11" ht="14.25" x14ac:dyDescent="0.2">
      <c r="B41" s="285"/>
      <c r="C41" s="286" t="s">
        <v>155</v>
      </c>
      <c r="D41" s="129"/>
    </row>
    <row r="42" spans="2:11" ht="14.25" x14ac:dyDescent="0.2">
      <c r="B42" s="285"/>
      <c r="C42" s="287"/>
      <c r="D42" s="129"/>
    </row>
    <row r="43" spans="2:11" x14ac:dyDescent="0.2">
      <c r="C43" s="129" t="s">
        <v>223</v>
      </c>
      <c r="D43" s="129"/>
    </row>
    <row r="44" spans="2:11" ht="15" x14ac:dyDescent="0.2">
      <c r="C44" s="27"/>
    </row>
    <row r="45" spans="2:11" ht="15" x14ac:dyDescent="0.2">
      <c r="C45" s="27"/>
    </row>
    <row r="46" spans="2:11" ht="15" x14ac:dyDescent="0.2">
      <c r="C46" s="27"/>
    </row>
    <row r="47" spans="2:11" ht="15" x14ac:dyDescent="0.2">
      <c r="C47" s="27"/>
    </row>
    <row r="48" spans="2:11" ht="15" x14ac:dyDescent="0.2">
      <c r="C48" s="27"/>
    </row>
    <row r="49" spans="3:3" ht="15" x14ac:dyDescent="0.2">
      <c r="C49" s="27"/>
    </row>
    <row r="50" spans="3:3" ht="15" x14ac:dyDescent="0.2">
      <c r="C50" s="27"/>
    </row>
    <row r="51" spans="3:3" ht="15" x14ac:dyDescent="0.2">
      <c r="C51" s="27"/>
    </row>
    <row r="52" spans="3:3" ht="15" x14ac:dyDescent="0.2">
      <c r="C52" s="27"/>
    </row>
    <row r="53" spans="3:3" ht="15" x14ac:dyDescent="0.2">
      <c r="C53" s="27"/>
    </row>
    <row r="54" spans="3:3" ht="15" x14ac:dyDescent="0.2">
      <c r="C54" s="27"/>
    </row>
    <row r="55" spans="3:3" ht="15" x14ac:dyDescent="0.2">
      <c r="C55" s="27"/>
    </row>
    <row r="56" spans="3:3" ht="15" x14ac:dyDescent="0.2">
      <c r="C56" s="27"/>
    </row>
    <row r="57" spans="3:3" ht="15" x14ac:dyDescent="0.2">
      <c r="C57" s="27"/>
    </row>
  </sheetData>
  <mergeCells count="1">
    <mergeCell ref="C9:J9"/>
  </mergeCells>
  <phoneticPr fontId="25" type="noConversion"/>
  <printOptions horizontalCentered="1"/>
  <pageMargins left="0.9" right="0.9" top="1" bottom="1" header="0.5" footer="0.24"/>
  <pageSetup scale="57" orientation="portrait" r:id="rId1"/>
  <headerFooter alignWithMargins="0"/>
  <ignoredErrors>
    <ignoredError sqref="D27:D32 E27 E32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39628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314325</xdr:colOff>
                <xdr:row>3</xdr:row>
                <xdr:rowOff>57150</xdr:rowOff>
              </to>
            </anchor>
          </objectPr>
        </oleObject>
      </mc:Choice>
      <mc:Fallback>
        <oleObject progId="MSPhotoEd.3" shapeId="39628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.01</vt:lpstr>
      <vt:lpstr>.02</vt:lpstr>
      <vt:lpstr>.03a</vt:lpstr>
      <vt:lpstr>.03b</vt:lpstr>
      <vt:lpstr>.03c</vt:lpstr>
      <vt:lpstr>.04</vt:lpstr>
      <vt:lpstr>.03 delete</vt:lpstr>
      <vt:lpstr>.04 delete</vt:lpstr>
      <vt:lpstr>.05</vt:lpstr>
      <vt:lpstr>.06</vt:lpstr>
      <vt:lpstr>.07</vt:lpstr>
      <vt:lpstr>.08</vt:lpstr>
      <vt:lpstr>.09</vt:lpstr>
      <vt:lpstr>.10</vt:lpstr>
      <vt:lpstr>.10 delete</vt:lpstr>
      <vt:lpstr>.11</vt:lpstr>
      <vt:lpstr>.12 &amp; .13</vt:lpstr>
      <vt:lpstr>footer</vt:lpstr>
      <vt:lpstr>'.01'!Print_Area</vt:lpstr>
      <vt:lpstr>'.02'!Print_Area</vt:lpstr>
      <vt:lpstr>'.03 delete'!Print_Area</vt:lpstr>
      <vt:lpstr>'.03a'!Print_Area</vt:lpstr>
      <vt:lpstr>'.03b'!Print_Area</vt:lpstr>
      <vt:lpstr>'.03c'!Print_Area</vt:lpstr>
      <vt:lpstr>'.04'!Print_Area</vt:lpstr>
      <vt:lpstr>'.04 delete'!Print_Area</vt:lpstr>
      <vt:lpstr>'.05'!Print_Area</vt:lpstr>
      <vt:lpstr>'.06'!Print_Area</vt:lpstr>
      <vt:lpstr>'.07'!Print_Area</vt:lpstr>
      <vt:lpstr>'.08'!Print_Area</vt:lpstr>
      <vt:lpstr>'.09'!Print_Area</vt:lpstr>
      <vt:lpstr>'.10'!Print_Area</vt:lpstr>
      <vt:lpstr>'.10 delete'!Print_Area</vt:lpstr>
      <vt:lpstr>'.11'!Print_Area</vt:lpstr>
      <vt:lpstr>'.12 &amp; .13'!Print_Area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Compendium of Statistics</dc:title>
  <dc:subject>Financial Services</dc:subject>
  <dc:creator>Economics &amp; Statistics Office</dc:creator>
  <cp:lastModifiedBy>Watt, Joseph</cp:lastModifiedBy>
  <cp:lastPrinted>2023-09-21T15:57:01Z</cp:lastPrinted>
  <dcterms:created xsi:type="dcterms:W3CDTF">2008-03-05T14:18:27Z</dcterms:created>
  <dcterms:modified xsi:type="dcterms:W3CDTF">2025-01-23T18:50:01Z</dcterms:modified>
</cp:coreProperties>
</file>